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02"/>
  <workbookPr showInkAnnotation="0" autoCompressPictures="0"/>
  <bookViews>
    <workbookView xWindow="240" yWindow="240" windowWidth="25360" windowHeight="14720" tabRatio="607" firstSheet="4" activeTab="11"/>
  </bookViews>
  <sheets>
    <sheet name="Tour Rankings-Comp" sheetId="1" r:id="rId1"/>
    <sheet name="Tour Rankings-Rec" sheetId="26" r:id="rId2"/>
    <sheet name="NCA Players Doubles" sheetId="11" r:id="rId3"/>
    <sheet name="NCA Players Singles" sheetId="22" r:id="rId4"/>
    <sheet name="Belleville" sheetId="23" r:id="rId5"/>
    <sheet name="Owen Sound" sheetId="24" r:id="rId6"/>
    <sheet name="ODCC" sheetId="25" r:id="rId7"/>
    <sheet name="Elmira" sheetId="27" r:id="rId8"/>
    <sheet name="Chatham" sheetId="28" r:id="rId9"/>
    <sheet name="London" sheetId="29" r:id="rId10"/>
    <sheet name="US Open" sheetId="30" r:id="rId11"/>
    <sheet name="Ontario Singles" sheetId="31" r:id="rId12"/>
    <sheet name="Points Model" sheetId="21" r:id="rId13"/>
  </sheets>
  <externalReferences>
    <externalReference r:id="rId14"/>
  </externalReferences>
  <definedNames>
    <definedName name="_xlnm._FilterDatabase" localSheetId="2" hidden="1">'NCA Players Doubles'!$O$4:$R$20</definedName>
    <definedName name="_xlnm._FilterDatabase" localSheetId="3" hidden="1">'NCA Players Singles'!$M$4:$O$28</definedName>
    <definedName name="_xlnm._FilterDatabase" localSheetId="0" hidden="1">'Tour Rankings-Comp'!$A$4:$AF$179</definedName>
    <definedName name="_xlnm._FilterDatabase" localSheetId="1" hidden="1">'Tour Rankings-Rec'!$A$4:$AA$179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179" i="26" l="1"/>
  <c r="H178" i="26"/>
  <c r="H177" i="26"/>
  <c r="H176" i="26"/>
  <c r="H175" i="26"/>
  <c r="H174" i="26"/>
  <c r="H173" i="26"/>
  <c r="H172" i="26"/>
  <c r="H171" i="26"/>
  <c r="H170" i="26"/>
  <c r="H169" i="26"/>
  <c r="H168" i="26"/>
  <c r="H167" i="26"/>
  <c r="H166" i="26"/>
  <c r="H165" i="26"/>
  <c r="H164" i="26"/>
  <c r="H163" i="26"/>
  <c r="H162" i="26"/>
  <c r="H161" i="26"/>
  <c r="H160" i="26"/>
  <c r="H159" i="26"/>
  <c r="H158" i="26"/>
  <c r="H157" i="26"/>
  <c r="H156" i="26"/>
  <c r="H155" i="26"/>
  <c r="H154" i="26"/>
  <c r="H153" i="26"/>
  <c r="H152" i="26"/>
  <c r="H151" i="26"/>
  <c r="H150" i="26"/>
  <c r="H149" i="26"/>
  <c r="H148" i="26"/>
  <c r="H147" i="26"/>
  <c r="H146" i="26"/>
  <c r="H145" i="26"/>
  <c r="H144" i="26"/>
  <c r="H143" i="26"/>
  <c r="H142" i="26"/>
  <c r="H141" i="26"/>
  <c r="H140" i="26"/>
  <c r="H139" i="26"/>
  <c r="H138" i="26"/>
  <c r="H137" i="26"/>
  <c r="H136" i="26"/>
  <c r="H135" i="26"/>
  <c r="H134" i="26"/>
  <c r="H133" i="26"/>
  <c r="H132" i="26"/>
  <c r="H131" i="26"/>
  <c r="H130" i="26"/>
  <c r="H129" i="26"/>
  <c r="H128" i="26"/>
  <c r="H127" i="26"/>
  <c r="H12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64" i="26"/>
  <c r="H83" i="26"/>
  <c r="H79" i="26"/>
  <c r="H74" i="26"/>
  <c r="H69" i="26"/>
  <c r="H63" i="26"/>
  <c r="H62" i="26"/>
  <c r="H30" i="26"/>
  <c r="H27" i="26"/>
  <c r="H101" i="26"/>
  <c r="H100" i="26"/>
  <c r="H99" i="26"/>
  <c r="H98" i="26"/>
  <c r="H97" i="26"/>
  <c r="H96" i="26"/>
  <c r="H36" i="26"/>
  <c r="H95" i="26"/>
  <c r="H94" i="26"/>
  <c r="H93" i="26"/>
  <c r="H92" i="26"/>
  <c r="H91" i="26"/>
  <c r="H90" i="26"/>
  <c r="H89" i="26"/>
  <c r="H88" i="26"/>
  <c r="H87" i="26"/>
  <c r="H86" i="26"/>
  <c r="H85" i="26"/>
  <c r="H84" i="26"/>
  <c r="H82" i="26"/>
  <c r="H81" i="26"/>
  <c r="H80" i="26"/>
  <c r="H78" i="26"/>
  <c r="H77" i="26"/>
  <c r="H76" i="26"/>
  <c r="H24" i="26"/>
  <c r="H75" i="26"/>
  <c r="H73" i="26"/>
  <c r="H72" i="26"/>
  <c r="H16" i="26"/>
  <c r="H71" i="26"/>
  <c r="H70" i="26"/>
  <c r="H68" i="26"/>
  <c r="H67" i="26"/>
  <c r="H66" i="26"/>
  <c r="H23" i="26"/>
  <c r="H65" i="26"/>
  <c r="H20" i="26"/>
  <c r="H18" i="26"/>
  <c r="H19" i="26"/>
  <c r="H61" i="26"/>
  <c r="H60" i="26"/>
  <c r="H59" i="26"/>
  <c r="H58" i="26"/>
  <c r="H57" i="26"/>
  <c r="H56" i="26"/>
  <c r="H55" i="26"/>
  <c r="H54" i="26"/>
  <c r="H53" i="26"/>
  <c r="H52" i="26"/>
  <c r="H51" i="26"/>
  <c r="H50" i="26"/>
  <c r="H49" i="26"/>
  <c r="H48" i="26"/>
  <c r="H47" i="26"/>
  <c r="H46" i="26"/>
  <c r="H45" i="26"/>
  <c r="H44" i="26"/>
  <c r="H43" i="26"/>
  <c r="H42" i="26"/>
  <c r="H41" i="26"/>
  <c r="H40" i="26"/>
  <c r="H39" i="26"/>
  <c r="H11" i="26"/>
  <c r="H38" i="26"/>
  <c r="H37" i="26"/>
  <c r="H35" i="26"/>
  <c r="H34" i="26"/>
  <c r="H33" i="26"/>
  <c r="H32" i="26"/>
  <c r="H31" i="26"/>
  <c r="H29" i="26"/>
  <c r="H28" i="26"/>
  <c r="H26" i="26"/>
  <c r="H25" i="26"/>
  <c r="H10" i="26"/>
  <c r="H22" i="26"/>
  <c r="H21" i="26"/>
  <c r="H17" i="26"/>
  <c r="H15" i="26"/>
  <c r="H14" i="26"/>
  <c r="H13" i="26"/>
  <c r="H12" i="26"/>
  <c r="H9" i="26"/>
  <c r="H7" i="26"/>
  <c r="H5" i="26"/>
  <c r="H8" i="26"/>
  <c r="H6" i="26"/>
  <c r="M197" i="1"/>
  <c r="M196" i="1"/>
  <c r="M195" i="1"/>
  <c r="M194" i="1"/>
  <c r="M193" i="1"/>
  <c r="M192" i="1"/>
  <c r="M191" i="1"/>
  <c r="M190" i="1"/>
  <c r="M128" i="1"/>
  <c r="M118" i="1"/>
  <c r="M189" i="1"/>
  <c r="M188" i="1"/>
  <c r="M187" i="1"/>
  <c r="M186" i="1"/>
  <c r="M185" i="1"/>
  <c r="M184" i="1"/>
  <c r="M183" i="1"/>
  <c r="M140" i="1"/>
  <c r="M135" i="1"/>
  <c r="M132" i="1"/>
  <c r="M127" i="1"/>
  <c r="M122" i="1"/>
  <c r="M117" i="1"/>
  <c r="M111" i="1"/>
  <c r="M109" i="1"/>
  <c r="M106" i="1"/>
  <c r="M102" i="1"/>
  <c r="M98" i="1"/>
  <c r="M93" i="1"/>
  <c r="M91" i="1"/>
  <c r="M87" i="1"/>
  <c r="M85" i="1"/>
  <c r="M79" i="1"/>
  <c r="M77" i="1"/>
  <c r="M75" i="1"/>
  <c r="M62" i="1"/>
  <c r="M182" i="1"/>
  <c r="M181" i="1"/>
  <c r="M180" i="1"/>
  <c r="M179" i="1"/>
  <c r="M178" i="1"/>
  <c r="M177" i="1"/>
  <c r="M176" i="1"/>
  <c r="M139" i="1"/>
  <c r="M134" i="1"/>
  <c r="M131" i="1"/>
  <c r="M126" i="1"/>
  <c r="M121" i="1"/>
  <c r="M116" i="1"/>
  <c r="M110" i="1"/>
  <c r="M108" i="1"/>
  <c r="M105" i="1"/>
  <c r="M101" i="1"/>
  <c r="M97" i="1"/>
  <c r="M94" i="1"/>
  <c r="M92" i="1"/>
  <c r="M90" i="1"/>
  <c r="M86" i="1"/>
  <c r="M84" i="1"/>
  <c r="M82" i="1"/>
  <c r="M78" i="1"/>
  <c r="M76" i="1"/>
  <c r="M74" i="1"/>
  <c r="M61" i="1"/>
  <c r="M175" i="1"/>
  <c r="M174" i="1"/>
  <c r="M173" i="1"/>
  <c r="M172" i="1"/>
  <c r="M171" i="1"/>
  <c r="M73"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38" i="1"/>
  <c r="M137" i="1"/>
  <c r="M136" i="1"/>
  <c r="M64" i="1"/>
  <c r="M133" i="1"/>
  <c r="M130" i="1"/>
  <c r="M129" i="1"/>
  <c r="M125" i="1"/>
  <c r="M124" i="1"/>
  <c r="M123" i="1"/>
  <c r="M120" i="1"/>
  <c r="M119" i="1"/>
  <c r="M115" i="1"/>
  <c r="M114" i="1"/>
  <c r="M113" i="1"/>
  <c r="M112" i="1"/>
  <c r="M107" i="1"/>
  <c r="M104" i="1"/>
  <c r="M103" i="1"/>
  <c r="M100" i="1"/>
  <c r="M99" i="1"/>
  <c r="M96" i="1"/>
  <c r="M95" i="1"/>
  <c r="M89" i="1"/>
  <c r="M88" i="1"/>
  <c r="M83" i="1"/>
  <c r="M81" i="1"/>
  <c r="M80" i="1"/>
  <c r="M44" i="1"/>
  <c r="M72" i="1"/>
  <c r="M71" i="1"/>
  <c r="M70" i="1"/>
  <c r="M69" i="1"/>
  <c r="M68" i="1"/>
  <c r="M67" i="1"/>
  <c r="M66" i="1"/>
  <c r="M65" i="1"/>
  <c r="M49" i="1"/>
  <c r="M63" i="1"/>
  <c r="M60" i="1"/>
  <c r="M59" i="1"/>
  <c r="M58" i="1"/>
  <c r="M57" i="1"/>
  <c r="M56" i="1"/>
  <c r="M45" i="1"/>
  <c r="M55" i="1"/>
  <c r="M54" i="1"/>
  <c r="M53" i="1"/>
  <c r="M52" i="1"/>
  <c r="M51" i="1"/>
  <c r="M50" i="1"/>
  <c r="M48" i="1"/>
  <c r="M47" i="1"/>
  <c r="M28" i="1"/>
  <c r="M46" i="1"/>
  <c r="M29" i="1"/>
  <c r="M43" i="1"/>
  <c r="M42" i="1"/>
  <c r="M41" i="1"/>
  <c r="M40" i="1"/>
  <c r="M39" i="1"/>
  <c r="M38" i="1"/>
  <c r="M37" i="1"/>
  <c r="M36" i="1"/>
  <c r="M35" i="1"/>
  <c r="M34" i="1"/>
  <c r="M23" i="1"/>
  <c r="M33" i="1"/>
  <c r="M32" i="1"/>
  <c r="M31" i="1"/>
  <c r="M30" i="1"/>
  <c r="M27" i="1"/>
  <c r="M26" i="1"/>
  <c r="M22" i="1"/>
  <c r="M25" i="1"/>
  <c r="M24" i="1"/>
  <c r="M21" i="1"/>
  <c r="M15" i="1"/>
  <c r="M19" i="1"/>
  <c r="M17" i="1"/>
  <c r="M20" i="1"/>
  <c r="M13" i="1"/>
  <c r="M18" i="1"/>
  <c r="M16" i="1"/>
  <c r="M14" i="1"/>
  <c r="M12" i="1"/>
  <c r="M11" i="1"/>
  <c r="M10" i="1"/>
  <c r="M9" i="1"/>
  <c r="M7" i="1"/>
  <c r="M8" i="1"/>
  <c r="M6" i="1"/>
  <c r="M5" i="1"/>
  <c r="E17" i="31"/>
  <c r="E18" i="31"/>
  <c r="E19" i="31"/>
  <c r="E20" i="31"/>
  <c r="E21" i="31"/>
  <c r="E22" i="31"/>
  <c r="E23" i="31"/>
  <c r="E7" i="31"/>
  <c r="E8" i="31"/>
  <c r="E9" i="31"/>
  <c r="E10" i="31"/>
  <c r="E11" i="31"/>
  <c r="E12" i="31"/>
  <c r="B17" i="31"/>
  <c r="B18" i="31"/>
  <c r="B19" i="31"/>
  <c r="B20" i="31"/>
  <c r="B21" i="31"/>
  <c r="B22" i="31"/>
  <c r="B23" i="31"/>
  <c r="B24" i="31"/>
  <c r="B7" i="31"/>
  <c r="B8" i="31"/>
  <c r="B9" i="31"/>
  <c r="B10" i="31"/>
  <c r="B11" i="31"/>
  <c r="B12" i="31"/>
  <c r="B13" i="31"/>
  <c r="D5" i="1"/>
  <c r="E5" i="1"/>
  <c r="F5" i="1"/>
  <c r="G5" i="1"/>
  <c r="H5" i="1"/>
  <c r="I5" i="1"/>
  <c r="J5" i="1"/>
  <c r="K5" i="1"/>
  <c r="L5" i="1"/>
  <c r="O5" i="1"/>
  <c r="D196" i="1"/>
  <c r="E196" i="1"/>
  <c r="F196" i="1"/>
  <c r="G196" i="1"/>
  <c r="H196" i="1"/>
  <c r="I196" i="1"/>
  <c r="J196" i="1"/>
  <c r="K196" i="1"/>
  <c r="L196" i="1"/>
  <c r="O196" i="1"/>
  <c r="D6" i="1"/>
  <c r="E6" i="1"/>
  <c r="F6" i="1"/>
  <c r="G6" i="1"/>
  <c r="H6" i="1"/>
  <c r="I6" i="1"/>
  <c r="J6" i="1"/>
  <c r="K6" i="1"/>
  <c r="L6" i="1"/>
  <c r="O6" i="1"/>
  <c r="D8" i="1"/>
  <c r="E8" i="1"/>
  <c r="F8" i="1"/>
  <c r="G8" i="1"/>
  <c r="H8" i="1"/>
  <c r="I8" i="1"/>
  <c r="J8" i="1"/>
  <c r="K8" i="1"/>
  <c r="L8" i="1"/>
  <c r="O8" i="1"/>
  <c r="D7" i="1"/>
  <c r="E7" i="1"/>
  <c r="F7" i="1"/>
  <c r="G7" i="1"/>
  <c r="H7" i="1"/>
  <c r="I7" i="1"/>
  <c r="J7" i="1"/>
  <c r="K7" i="1"/>
  <c r="L7" i="1"/>
  <c r="O7" i="1"/>
  <c r="D9" i="1"/>
  <c r="E9" i="1"/>
  <c r="F9" i="1"/>
  <c r="G9" i="1"/>
  <c r="H9" i="1"/>
  <c r="I9" i="1"/>
  <c r="J9" i="1"/>
  <c r="K9" i="1"/>
  <c r="L9" i="1"/>
  <c r="O9" i="1"/>
  <c r="D10" i="1"/>
  <c r="E10" i="1"/>
  <c r="F10" i="1"/>
  <c r="G10" i="1"/>
  <c r="H10" i="1"/>
  <c r="I10" i="1"/>
  <c r="J10" i="1"/>
  <c r="K10" i="1"/>
  <c r="L10" i="1"/>
  <c r="O10" i="1"/>
  <c r="D11" i="1"/>
  <c r="E11" i="1"/>
  <c r="F11" i="1"/>
  <c r="G11" i="1"/>
  <c r="H11" i="1"/>
  <c r="I11" i="1"/>
  <c r="J11" i="1"/>
  <c r="K11" i="1"/>
  <c r="L11" i="1"/>
  <c r="O11" i="1"/>
  <c r="D12" i="1"/>
  <c r="E12" i="1"/>
  <c r="F12" i="1"/>
  <c r="G12" i="1"/>
  <c r="H12" i="1"/>
  <c r="I12" i="1"/>
  <c r="J12" i="1"/>
  <c r="K12" i="1"/>
  <c r="L12" i="1"/>
  <c r="O12" i="1"/>
  <c r="D14" i="1"/>
  <c r="E14" i="1"/>
  <c r="F14" i="1"/>
  <c r="G14" i="1"/>
  <c r="H14" i="1"/>
  <c r="I14" i="1"/>
  <c r="J14" i="1"/>
  <c r="K14" i="1"/>
  <c r="L14" i="1"/>
  <c r="O14" i="1"/>
  <c r="D16" i="1"/>
  <c r="E16" i="1"/>
  <c r="F16" i="1"/>
  <c r="G16" i="1"/>
  <c r="H16" i="1"/>
  <c r="I16" i="1"/>
  <c r="J16" i="1"/>
  <c r="K16" i="1"/>
  <c r="L16" i="1"/>
  <c r="O16" i="1"/>
  <c r="D18" i="1"/>
  <c r="E18" i="1"/>
  <c r="F18" i="1"/>
  <c r="G18" i="1"/>
  <c r="H18" i="1"/>
  <c r="I18" i="1"/>
  <c r="J18" i="1"/>
  <c r="K18" i="1"/>
  <c r="L18" i="1"/>
  <c r="O18" i="1"/>
  <c r="D13" i="1"/>
  <c r="E13" i="1"/>
  <c r="F13" i="1"/>
  <c r="G13" i="1"/>
  <c r="H13" i="1"/>
  <c r="I13" i="1"/>
  <c r="J13" i="1"/>
  <c r="K13" i="1"/>
  <c r="L13" i="1"/>
  <c r="O13" i="1"/>
  <c r="D20" i="1"/>
  <c r="E20" i="1"/>
  <c r="F20" i="1"/>
  <c r="G20" i="1"/>
  <c r="H20" i="1"/>
  <c r="I20" i="1"/>
  <c r="J20" i="1"/>
  <c r="K20" i="1"/>
  <c r="L20" i="1"/>
  <c r="O20" i="1"/>
  <c r="D17" i="1"/>
  <c r="E17" i="1"/>
  <c r="F17" i="1"/>
  <c r="G17" i="1"/>
  <c r="H17" i="1"/>
  <c r="I17" i="1"/>
  <c r="J17" i="1"/>
  <c r="K17" i="1"/>
  <c r="L17" i="1"/>
  <c r="O17" i="1"/>
  <c r="D19" i="1"/>
  <c r="E19" i="1"/>
  <c r="F19" i="1"/>
  <c r="G19" i="1"/>
  <c r="H19" i="1"/>
  <c r="I19" i="1"/>
  <c r="J19" i="1"/>
  <c r="K19" i="1"/>
  <c r="L19" i="1"/>
  <c r="O19" i="1"/>
  <c r="D15" i="1"/>
  <c r="E15" i="1"/>
  <c r="F15" i="1"/>
  <c r="G15" i="1"/>
  <c r="H15" i="1"/>
  <c r="I15" i="1"/>
  <c r="J15" i="1"/>
  <c r="K15" i="1"/>
  <c r="L15" i="1"/>
  <c r="O15" i="1"/>
  <c r="D21" i="1"/>
  <c r="E21" i="1"/>
  <c r="F21" i="1"/>
  <c r="G21" i="1"/>
  <c r="H21" i="1"/>
  <c r="I21" i="1"/>
  <c r="J21" i="1"/>
  <c r="K21" i="1"/>
  <c r="L21" i="1"/>
  <c r="O21" i="1"/>
  <c r="D24" i="1"/>
  <c r="E24" i="1"/>
  <c r="F24" i="1"/>
  <c r="G24" i="1"/>
  <c r="H24" i="1"/>
  <c r="I24" i="1"/>
  <c r="J24" i="1"/>
  <c r="K24" i="1"/>
  <c r="L24" i="1"/>
  <c r="O24" i="1"/>
  <c r="D25" i="1"/>
  <c r="E25" i="1"/>
  <c r="F25" i="1"/>
  <c r="G25" i="1"/>
  <c r="H25" i="1"/>
  <c r="I25" i="1"/>
  <c r="J25" i="1"/>
  <c r="K25" i="1"/>
  <c r="L25" i="1"/>
  <c r="O25" i="1"/>
  <c r="D22" i="1"/>
  <c r="E22" i="1"/>
  <c r="F22" i="1"/>
  <c r="G22" i="1"/>
  <c r="H22" i="1"/>
  <c r="I22" i="1"/>
  <c r="J22" i="1"/>
  <c r="K22" i="1"/>
  <c r="L22" i="1"/>
  <c r="O22" i="1"/>
  <c r="D26" i="1"/>
  <c r="E26" i="1"/>
  <c r="F26" i="1"/>
  <c r="G26" i="1"/>
  <c r="H26" i="1"/>
  <c r="I26" i="1"/>
  <c r="J26" i="1"/>
  <c r="K26" i="1"/>
  <c r="L26" i="1"/>
  <c r="O26" i="1"/>
  <c r="D27" i="1"/>
  <c r="E27" i="1"/>
  <c r="F27" i="1"/>
  <c r="G27" i="1"/>
  <c r="H27" i="1"/>
  <c r="I27" i="1"/>
  <c r="J27" i="1"/>
  <c r="K27" i="1"/>
  <c r="L27" i="1"/>
  <c r="O27" i="1"/>
  <c r="D30" i="1"/>
  <c r="E30" i="1"/>
  <c r="F30" i="1"/>
  <c r="G30" i="1"/>
  <c r="H30" i="1"/>
  <c r="I30" i="1"/>
  <c r="J30" i="1"/>
  <c r="K30" i="1"/>
  <c r="L30" i="1"/>
  <c r="O30" i="1"/>
  <c r="D31" i="1"/>
  <c r="E31" i="1"/>
  <c r="F31" i="1"/>
  <c r="G31" i="1"/>
  <c r="H31" i="1"/>
  <c r="I31" i="1"/>
  <c r="J31" i="1"/>
  <c r="K31" i="1"/>
  <c r="L31" i="1"/>
  <c r="O31" i="1"/>
  <c r="D32" i="1"/>
  <c r="E32" i="1"/>
  <c r="F32" i="1"/>
  <c r="G32" i="1"/>
  <c r="H32" i="1"/>
  <c r="I32" i="1"/>
  <c r="J32" i="1"/>
  <c r="K32" i="1"/>
  <c r="L32" i="1"/>
  <c r="O32" i="1"/>
  <c r="D33" i="1"/>
  <c r="E33" i="1"/>
  <c r="F33" i="1"/>
  <c r="G33" i="1"/>
  <c r="H33" i="1"/>
  <c r="I33" i="1"/>
  <c r="J33" i="1"/>
  <c r="K33" i="1"/>
  <c r="L33" i="1"/>
  <c r="O33" i="1"/>
  <c r="D23" i="1"/>
  <c r="E23" i="1"/>
  <c r="F23" i="1"/>
  <c r="G23" i="1"/>
  <c r="H23" i="1"/>
  <c r="I23" i="1"/>
  <c r="J23" i="1"/>
  <c r="K23" i="1"/>
  <c r="L23" i="1"/>
  <c r="O23" i="1"/>
  <c r="D34" i="1"/>
  <c r="E34" i="1"/>
  <c r="F34" i="1"/>
  <c r="G34" i="1"/>
  <c r="H34" i="1"/>
  <c r="I34" i="1"/>
  <c r="J34" i="1"/>
  <c r="K34" i="1"/>
  <c r="L34" i="1"/>
  <c r="O34" i="1"/>
  <c r="D35" i="1"/>
  <c r="E35" i="1"/>
  <c r="F35" i="1"/>
  <c r="G35" i="1"/>
  <c r="H35" i="1"/>
  <c r="I35" i="1"/>
  <c r="J35" i="1"/>
  <c r="K35" i="1"/>
  <c r="L35" i="1"/>
  <c r="O35" i="1"/>
  <c r="D36" i="1"/>
  <c r="E36" i="1"/>
  <c r="F36" i="1"/>
  <c r="G36" i="1"/>
  <c r="H36" i="1"/>
  <c r="I36" i="1"/>
  <c r="J36" i="1"/>
  <c r="K36" i="1"/>
  <c r="L36" i="1"/>
  <c r="O36" i="1"/>
  <c r="D37" i="1"/>
  <c r="E37" i="1"/>
  <c r="F37" i="1"/>
  <c r="G37" i="1"/>
  <c r="H37" i="1"/>
  <c r="I37" i="1"/>
  <c r="J37" i="1"/>
  <c r="K37" i="1"/>
  <c r="L37" i="1"/>
  <c r="O37" i="1"/>
  <c r="D38" i="1"/>
  <c r="E38" i="1"/>
  <c r="F38" i="1"/>
  <c r="G38" i="1"/>
  <c r="H38" i="1"/>
  <c r="I38" i="1"/>
  <c r="J38" i="1"/>
  <c r="K38" i="1"/>
  <c r="L38" i="1"/>
  <c r="O38" i="1"/>
  <c r="D39" i="1"/>
  <c r="E39" i="1"/>
  <c r="F39" i="1"/>
  <c r="G39" i="1"/>
  <c r="H39" i="1"/>
  <c r="I39" i="1"/>
  <c r="J39" i="1"/>
  <c r="K39" i="1"/>
  <c r="L39" i="1"/>
  <c r="O39" i="1"/>
  <c r="D40" i="1"/>
  <c r="E40" i="1"/>
  <c r="F40" i="1"/>
  <c r="G40" i="1"/>
  <c r="H40" i="1"/>
  <c r="I40" i="1"/>
  <c r="J40" i="1"/>
  <c r="K40" i="1"/>
  <c r="L40" i="1"/>
  <c r="O40" i="1"/>
  <c r="D41" i="1"/>
  <c r="E41" i="1"/>
  <c r="F41" i="1"/>
  <c r="G41" i="1"/>
  <c r="H41" i="1"/>
  <c r="I41" i="1"/>
  <c r="J41" i="1"/>
  <c r="K41" i="1"/>
  <c r="L41" i="1"/>
  <c r="O41" i="1"/>
  <c r="D42" i="1"/>
  <c r="E42" i="1"/>
  <c r="F42" i="1"/>
  <c r="G42" i="1"/>
  <c r="H42" i="1"/>
  <c r="I42" i="1"/>
  <c r="J42" i="1"/>
  <c r="K42" i="1"/>
  <c r="L42" i="1"/>
  <c r="O42" i="1"/>
  <c r="D43" i="1"/>
  <c r="E43" i="1"/>
  <c r="F43" i="1"/>
  <c r="G43" i="1"/>
  <c r="H43" i="1"/>
  <c r="I43" i="1"/>
  <c r="J43" i="1"/>
  <c r="K43" i="1"/>
  <c r="L43" i="1"/>
  <c r="O43" i="1"/>
  <c r="D29" i="1"/>
  <c r="E29" i="1"/>
  <c r="F29" i="1"/>
  <c r="G29" i="1"/>
  <c r="H29" i="1"/>
  <c r="I29" i="1"/>
  <c r="J29" i="1"/>
  <c r="K29" i="1"/>
  <c r="L29" i="1"/>
  <c r="O29" i="1"/>
  <c r="D46" i="1"/>
  <c r="E46" i="1"/>
  <c r="F46" i="1"/>
  <c r="G46" i="1"/>
  <c r="H46" i="1"/>
  <c r="I46" i="1"/>
  <c r="J46" i="1"/>
  <c r="K46" i="1"/>
  <c r="L46" i="1"/>
  <c r="O46" i="1"/>
  <c r="D28" i="1"/>
  <c r="E28" i="1"/>
  <c r="F28" i="1"/>
  <c r="G28" i="1"/>
  <c r="H28" i="1"/>
  <c r="I28" i="1"/>
  <c r="J28" i="1"/>
  <c r="K28" i="1"/>
  <c r="L28" i="1"/>
  <c r="O28" i="1"/>
  <c r="D47" i="1"/>
  <c r="E47" i="1"/>
  <c r="F47" i="1"/>
  <c r="G47" i="1"/>
  <c r="H47" i="1"/>
  <c r="I47" i="1"/>
  <c r="J47" i="1"/>
  <c r="K47" i="1"/>
  <c r="L47" i="1"/>
  <c r="O47" i="1"/>
  <c r="D48" i="1"/>
  <c r="E48" i="1"/>
  <c r="F48" i="1"/>
  <c r="G48" i="1"/>
  <c r="H48" i="1"/>
  <c r="I48" i="1"/>
  <c r="J48" i="1"/>
  <c r="K48" i="1"/>
  <c r="L48" i="1"/>
  <c r="O48" i="1"/>
  <c r="D50" i="1"/>
  <c r="E50" i="1"/>
  <c r="F50" i="1"/>
  <c r="G50" i="1"/>
  <c r="H50" i="1"/>
  <c r="I50" i="1"/>
  <c r="J50" i="1"/>
  <c r="K50" i="1"/>
  <c r="L50" i="1"/>
  <c r="O50" i="1"/>
  <c r="D51" i="1"/>
  <c r="E51" i="1"/>
  <c r="F51" i="1"/>
  <c r="G51" i="1"/>
  <c r="H51" i="1"/>
  <c r="I51" i="1"/>
  <c r="J51" i="1"/>
  <c r="K51" i="1"/>
  <c r="L51" i="1"/>
  <c r="O51" i="1"/>
  <c r="D52" i="1"/>
  <c r="E52" i="1"/>
  <c r="F52" i="1"/>
  <c r="G52" i="1"/>
  <c r="H52" i="1"/>
  <c r="I52" i="1"/>
  <c r="J52" i="1"/>
  <c r="K52" i="1"/>
  <c r="L52" i="1"/>
  <c r="O52" i="1"/>
  <c r="D53" i="1"/>
  <c r="E53" i="1"/>
  <c r="F53" i="1"/>
  <c r="G53" i="1"/>
  <c r="H53" i="1"/>
  <c r="I53" i="1"/>
  <c r="J53" i="1"/>
  <c r="K53" i="1"/>
  <c r="L53" i="1"/>
  <c r="O53" i="1"/>
  <c r="D54" i="1"/>
  <c r="E54" i="1"/>
  <c r="F54" i="1"/>
  <c r="G54" i="1"/>
  <c r="H54" i="1"/>
  <c r="I54" i="1"/>
  <c r="J54" i="1"/>
  <c r="K54" i="1"/>
  <c r="L54" i="1"/>
  <c r="O54" i="1"/>
  <c r="D55" i="1"/>
  <c r="E55" i="1"/>
  <c r="F55" i="1"/>
  <c r="G55" i="1"/>
  <c r="H55" i="1"/>
  <c r="I55" i="1"/>
  <c r="J55" i="1"/>
  <c r="K55" i="1"/>
  <c r="L55" i="1"/>
  <c r="O55" i="1"/>
  <c r="D45" i="1"/>
  <c r="E45" i="1"/>
  <c r="F45" i="1"/>
  <c r="G45" i="1"/>
  <c r="H45" i="1"/>
  <c r="I45" i="1"/>
  <c r="J45" i="1"/>
  <c r="K45" i="1"/>
  <c r="L45" i="1"/>
  <c r="O45" i="1"/>
  <c r="D56" i="1"/>
  <c r="E56" i="1"/>
  <c r="F56" i="1"/>
  <c r="G56" i="1"/>
  <c r="H56" i="1"/>
  <c r="I56" i="1"/>
  <c r="J56" i="1"/>
  <c r="K56" i="1"/>
  <c r="L56" i="1"/>
  <c r="O56" i="1"/>
  <c r="D57" i="1"/>
  <c r="E57" i="1"/>
  <c r="F57" i="1"/>
  <c r="G57" i="1"/>
  <c r="H57" i="1"/>
  <c r="I57" i="1"/>
  <c r="J57" i="1"/>
  <c r="K57" i="1"/>
  <c r="L57" i="1"/>
  <c r="O57" i="1"/>
  <c r="D58" i="1"/>
  <c r="E58" i="1"/>
  <c r="F58" i="1"/>
  <c r="G58" i="1"/>
  <c r="H58" i="1"/>
  <c r="I58" i="1"/>
  <c r="J58" i="1"/>
  <c r="K58" i="1"/>
  <c r="L58" i="1"/>
  <c r="O58" i="1"/>
  <c r="D59" i="1"/>
  <c r="E59" i="1"/>
  <c r="F59" i="1"/>
  <c r="G59" i="1"/>
  <c r="H59" i="1"/>
  <c r="I59" i="1"/>
  <c r="J59" i="1"/>
  <c r="K59" i="1"/>
  <c r="L59" i="1"/>
  <c r="O59" i="1"/>
  <c r="D60" i="1"/>
  <c r="E60" i="1"/>
  <c r="F60" i="1"/>
  <c r="G60" i="1"/>
  <c r="H60" i="1"/>
  <c r="I60" i="1"/>
  <c r="J60" i="1"/>
  <c r="K60" i="1"/>
  <c r="L60" i="1"/>
  <c r="O60" i="1"/>
  <c r="D63" i="1"/>
  <c r="E63" i="1"/>
  <c r="F63" i="1"/>
  <c r="G63" i="1"/>
  <c r="H63" i="1"/>
  <c r="I63" i="1"/>
  <c r="J63" i="1"/>
  <c r="K63" i="1"/>
  <c r="L63" i="1"/>
  <c r="O63" i="1"/>
  <c r="D49" i="1"/>
  <c r="E49" i="1"/>
  <c r="F49" i="1"/>
  <c r="G49" i="1"/>
  <c r="H49" i="1"/>
  <c r="I49" i="1"/>
  <c r="J49" i="1"/>
  <c r="K49" i="1"/>
  <c r="L49" i="1"/>
  <c r="O49" i="1"/>
  <c r="D65" i="1"/>
  <c r="E65" i="1"/>
  <c r="F65" i="1"/>
  <c r="G65" i="1"/>
  <c r="H65" i="1"/>
  <c r="I65" i="1"/>
  <c r="J65" i="1"/>
  <c r="K65" i="1"/>
  <c r="L65" i="1"/>
  <c r="O65" i="1"/>
  <c r="D66" i="1"/>
  <c r="E66" i="1"/>
  <c r="F66" i="1"/>
  <c r="G66" i="1"/>
  <c r="H66" i="1"/>
  <c r="I66" i="1"/>
  <c r="J66" i="1"/>
  <c r="K66" i="1"/>
  <c r="L66" i="1"/>
  <c r="O66" i="1"/>
  <c r="D67" i="1"/>
  <c r="E67" i="1"/>
  <c r="F67" i="1"/>
  <c r="G67" i="1"/>
  <c r="H67" i="1"/>
  <c r="I67" i="1"/>
  <c r="J67" i="1"/>
  <c r="K67" i="1"/>
  <c r="L67" i="1"/>
  <c r="O67" i="1"/>
  <c r="D68" i="1"/>
  <c r="E68" i="1"/>
  <c r="F68" i="1"/>
  <c r="G68" i="1"/>
  <c r="H68" i="1"/>
  <c r="I68" i="1"/>
  <c r="J68" i="1"/>
  <c r="K68" i="1"/>
  <c r="L68" i="1"/>
  <c r="O68" i="1"/>
  <c r="D69" i="1"/>
  <c r="E69" i="1"/>
  <c r="F69" i="1"/>
  <c r="G69" i="1"/>
  <c r="H69" i="1"/>
  <c r="I69" i="1"/>
  <c r="J69" i="1"/>
  <c r="K69" i="1"/>
  <c r="L69" i="1"/>
  <c r="O69" i="1"/>
  <c r="D70" i="1"/>
  <c r="E70" i="1"/>
  <c r="F70" i="1"/>
  <c r="G70" i="1"/>
  <c r="H70" i="1"/>
  <c r="I70" i="1"/>
  <c r="J70" i="1"/>
  <c r="K70" i="1"/>
  <c r="L70" i="1"/>
  <c r="O70" i="1"/>
  <c r="D71" i="1"/>
  <c r="E71" i="1"/>
  <c r="F71" i="1"/>
  <c r="G71" i="1"/>
  <c r="H71" i="1"/>
  <c r="I71" i="1"/>
  <c r="J71" i="1"/>
  <c r="K71" i="1"/>
  <c r="L71" i="1"/>
  <c r="O71" i="1"/>
  <c r="D72" i="1"/>
  <c r="E72" i="1"/>
  <c r="F72" i="1"/>
  <c r="G72" i="1"/>
  <c r="H72" i="1"/>
  <c r="I72" i="1"/>
  <c r="J72" i="1"/>
  <c r="K72" i="1"/>
  <c r="L72" i="1"/>
  <c r="O72" i="1"/>
  <c r="D44" i="1"/>
  <c r="E44" i="1"/>
  <c r="F44" i="1"/>
  <c r="G44" i="1"/>
  <c r="H44" i="1"/>
  <c r="I44" i="1"/>
  <c r="J44" i="1"/>
  <c r="K44" i="1"/>
  <c r="L44" i="1"/>
  <c r="O44" i="1"/>
  <c r="D80" i="1"/>
  <c r="E80" i="1"/>
  <c r="F80" i="1"/>
  <c r="G80" i="1"/>
  <c r="H80" i="1"/>
  <c r="I80" i="1"/>
  <c r="J80" i="1"/>
  <c r="K80" i="1"/>
  <c r="L80" i="1"/>
  <c r="O80" i="1"/>
  <c r="D81" i="1"/>
  <c r="E81" i="1"/>
  <c r="F81" i="1"/>
  <c r="G81" i="1"/>
  <c r="H81" i="1"/>
  <c r="I81" i="1"/>
  <c r="J81" i="1"/>
  <c r="K81" i="1"/>
  <c r="L81" i="1"/>
  <c r="O81" i="1"/>
  <c r="D83" i="1"/>
  <c r="E83" i="1"/>
  <c r="F83" i="1"/>
  <c r="G83" i="1"/>
  <c r="H83" i="1"/>
  <c r="I83" i="1"/>
  <c r="J83" i="1"/>
  <c r="K83" i="1"/>
  <c r="L83" i="1"/>
  <c r="O83" i="1"/>
  <c r="D88" i="1"/>
  <c r="E88" i="1"/>
  <c r="F88" i="1"/>
  <c r="G88" i="1"/>
  <c r="H88" i="1"/>
  <c r="I88" i="1"/>
  <c r="J88" i="1"/>
  <c r="K88" i="1"/>
  <c r="L88" i="1"/>
  <c r="O88" i="1"/>
  <c r="D89" i="1"/>
  <c r="E89" i="1"/>
  <c r="F89" i="1"/>
  <c r="G89" i="1"/>
  <c r="H89" i="1"/>
  <c r="I89" i="1"/>
  <c r="J89" i="1"/>
  <c r="K89" i="1"/>
  <c r="L89" i="1"/>
  <c r="O89" i="1"/>
  <c r="D95" i="1"/>
  <c r="E95" i="1"/>
  <c r="F95" i="1"/>
  <c r="G95" i="1"/>
  <c r="H95" i="1"/>
  <c r="I95" i="1"/>
  <c r="J95" i="1"/>
  <c r="K95" i="1"/>
  <c r="L95" i="1"/>
  <c r="O95" i="1"/>
  <c r="D96" i="1"/>
  <c r="E96" i="1"/>
  <c r="F96" i="1"/>
  <c r="G96" i="1"/>
  <c r="H96" i="1"/>
  <c r="I96" i="1"/>
  <c r="J96" i="1"/>
  <c r="K96" i="1"/>
  <c r="L96" i="1"/>
  <c r="O96" i="1"/>
  <c r="D99" i="1"/>
  <c r="E99" i="1"/>
  <c r="F99" i="1"/>
  <c r="G99" i="1"/>
  <c r="H99" i="1"/>
  <c r="I99" i="1"/>
  <c r="J99" i="1"/>
  <c r="K99" i="1"/>
  <c r="L99" i="1"/>
  <c r="O99" i="1"/>
  <c r="D100" i="1"/>
  <c r="E100" i="1"/>
  <c r="F100" i="1"/>
  <c r="G100" i="1"/>
  <c r="H100" i="1"/>
  <c r="I100" i="1"/>
  <c r="J100" i="1"/>
  <c r="K100" i="1"/>
  <c r="L100" i="1"/>
  <c r="O100" i="1"/>
  <c r="D103" i="1"/>
  <c r="E103" i="1"/>
  <c r="F103" i="1"/>
  <c r="G103" i="1"/>
  <c r="H103" i="1"/>
  <c r="I103" i="1"/>
  <c r="J103" i="1"/>
  <c r="K103" i="1"/>
  <c r="L103" i="1"/>
  <c r="O103" i="1"/>
  <c r="D104" i="1"/>
  <c r="E104" i="1"/>
  <c r="F104" i="1"/>
  <c r="G104" i="1"/>
  <c r="H104" i="1"/>
  <c r="I104" i="1"/>
  <c r="J104" i="1"/>
  <c r="K104" i="1"/>
  <c r="L104" i="1"/>
  <c r="O104" i="1"/>
  <c r="D107" i="1"/>
  <c r="E107" i="1"/>
  <c r="F107" i="1"/>
  <c r="G107" i="1"/>
  <c r="H107" i="1"/>
  <c r="I107" i="1"/>
  <c r="J107" i="1"/>
  <c r="K107" i="1"/>
  <c r="L107" i="1"/>
  <c r="O107" i="1"/>
  <c r="D112" i="1"/>
  <c r="E112" i="1"/>
  <c r="F112" i="1"/>
  <c r="G112" i="1"/>
  <c r="H112" i="1"/>
  <c r="I112" i="1"/>
  <c r="J112" i="1"/>
  <c r="K112" i="1"/>
  <c r="L112" i="1"/>
  <c r="O112" i="1"/>
  <c r="D113" i="1"/>
  <c r="E113" i="1"/>
  <c r="F113" i="1"/>
  <c r="G113" i="1"/>
  <c r="H113" i="1"/>
  <c r="I113" i="1"/>
  <c r="J113" i="1"/>
  <c r="K113" i="1"/>
  <c r="L113" i="1"/>
  <c r="O113" i="1"/>
  <c r="D114" i="1"/>
  <c r="E114" i="1"/>
  <c r="F114" i="1"/>
  <c r="G114" i="1"/>
  <c r="H114" i="1"/>
  <c r="I114" i="1"/>
  <c r="J114" i="1"/>
  <c r="K114" i="1"/>
  <c r="L114" i="1"/>
  <c r="O114" i="1"/>
  <c r="D115" i="1"/>
  <c r="E115" i="1"/>
  <c r="F115" i="1"/>
  <c r="G115" i="1"/>
  <c r="H115" i="1"/>
  <c r="I115" i="1"/>
  <c r="J115" i="1"/>
  <c r="K115" i="1"/>
  <c r="L115" i="1"/>
  <c r="O115" i="1"/>
  <c r="D119" i="1"/>
  <c r="E119" i="1"/>
  <c r="F119" i="1"/>
  <c r="G119" i="1"/>
  <c r="H119" i="1"/>
  <c r="I119" i="1"/>
  <c r="J119" i="1"/>
  <c r="K119" i="1"/>
  <c r="L119" i="1"/>
  <c r="O119" i="1"/>
  <c r="D120" i="1"/>
  <c r="E120" i="1"/>
  <c r="F120" i="1"/>
  <c r="G120" i="1"/>
  <c r="H120" i="1"/>
  <c r="I120" i="1"/>
  <c r="J120" i="1"/>
  <c r="K120" i="1"/>
  <c r="L120" i="1"/>
  <c r="O120" i="1"/>
  <c r="D123" i="1"/>
  <c r="E123" i="1"/>
  <c r="F123" i="1"/>
  <c r="G123" i="1"/>
  <c r="H123" i="1"/>
  <c r="I123" i="1"/>
  <c r="J123" i="1"/>
  <c r="K123" i="1"/>
  <c r="L123" i="1"/>
  <c r="O123" i="1"/>
  <c r="D124" i="1"/>
  <c r="E124" i="1"/>
  <c r="F124" i="1"/>
  <c r="G124" i="1"/>
  <c r="H124" i="1"/>
  <c r="I124" i="1"/>
  <c r="J124" i="1"/>
  <c r="K124" i="1"/>
  <c r="L124" i="1"/>
  <c r="O124" i="1"/>
  <c r="D125" i="1"/>
  <c r="E125" i="1"/>
  <c r="F125" i="1"/>
  <c r="G125" i="1"/>
  <c r="H125" i="1"/>
  <c r="I125" i="1"/>
  <c r="J125" i="1"/>
  <c r="K125" i="1"/>
  <c r="L125" i="1"/>
  <c r="O125" i="1"/>
  <c r="D129" i="1"/>
  <c r="E129" i="1"/>
  <c r="F129" i="1"/>
  <c r="G129" i="1"/>
  <c r="H129" i="1"/>
  <c r="I129" i="1"/>
  <c r="J129" i="1"/>
  <c r="K129" i="1"/>
  <c r="L129" i="1"/>
  <c r="O129" i="1"/>
  <c r="D130" i="1"/>
  <c r="E130" i="1"/>
  <c r="F130" i="1"/>
  <c r="G130" i="1"/>
  <c r="H130" i="1"/>
  <c r="I130" i="1"/>
  <c r="J130" i="1"/>
  <c r="K130" i="1"/>
  <c r="L130" i="1"/>
  <c r="O130" i="1"/>
  <c r="D133" i="1"/>
  <c r="E133" i="1"/>
  <c r="F133" i="1"/>
  <c r="G133" i="1"/>
  <c r="H133" i="1"/>
  <c r="I133" i="1"/>
  <c r="J133" i="1"/>
  <c r="K133" i="1"/>
  <c r="L133" i="1"/>
  <c r="O133" i="1"/>
  <c r="D64" i="1"/>
  <c r="E64" i="1"/>
  <c r="F64" i="1"/>
  <c r="G64" i="1"/>
  <c r="H64" i="1"/>
  <c r="I64" i="1"/>
  <c r="J64" i="1"/>
  <c r="K64" i="1"/>
  <c r="L64" i="1"/>
  <c r="O64" i="1"/>
  <c r="D136" i="1"/>
  <c r="E136" i="1"/>
  <c r="F136" i="1"/>
  <c r="G136" i="1"/>
  <c r="H136" i="1"/>
  <c r="I136" i="1"/>
  <c r="J136" i="1"/>
  <c r="K136" i="1"/>
  <c r="L136" i="1"/>
  <c r="O136" i="1"/>
  <c r="D137" i="1"/>
  <c r="E137" i="1"/>
  <c r="F137" i="1"/>
  <c r="G137" i="1"/>
  <c r="H137" i="1"/>
  <c r="I137" i="1"/>
  <c r="J137" i="1"/>
  <c r="K137" i="1"/>
  <c r="L137" i="1"/>
  <c r="O137" i="1"/>
  <c r="D138" i="1"/>
  <c r="E138" i="1"/>
  <c r="F138" i="1"/>
  <c r="G138" i="1"/>
  <c r="H138" i="1"/>
  <c r="I138" i="1"/>
  <c r="J138" i="1"/>
  <c r="K138" i="1"/>
  <c r="L138" i="1"/>
  <c r="O138" i="1"/>
  <c r="D141" i="1"/>
  <c r="E141" i="1"/>
  <c r="F141" i="1"/>
  <c r="G141" i="1"/>
  <c r="H141" i="1"/>
  <c r="I141" i="1"/>
  <c r="J141" i="1"/>
  <c r="K141" i="1"/>
  <c r="L141" i="1"/>
  <c r="O141" i="1"/>
  <c r="D142" i="1"/>
  <c r="E142" i="1"/>
  <c r="F142" i="1"/>
  <c r="G142" i="1"/>
  <c r="H142" i="1"/>
  <c r="I142" i="1"/>
  <c r="J142" i="1"/>
  <c r="K142" i="1"/>
  <c r="L142" i="1"/>
  <c r="O142" i="1"/>
  <c r="D143" i="1"/>
  <c r="E143" i="1"/>
  <c r="F143" i="1"/>
  <c r="G143" i="1"/>
  <c r="H143" i="1"/>
  <c r="I143" i="1"/>
  <c r="J143" i="1"/>
  <c r="K143" i="1"/>
  <c r="L143" i="1"/>
  <c r="O143" i="1"/>
  <c r="D144" i="1"/>
  <c r="E144" i="1"/>
  <c r="F144" i="1"/>
  <c r="G144" i="1"/>
  <c r="H144" i="1"/>
  <c r="I144" i="1"/>
  <c r="J144" i="1"/>
  <c r="K144" i="1"/>
  <c r="L144" i="1"/>
  <c r="O144" i="1"/>
  <c r="D145" i="1"/>
  <c r="E145" i="1"/>
  <c r="F145" i="1"/>
  <c r="G145" i="1"/>
  <c r="H145" i="1"/>
  <c r="I145" i="1"/>
  <c r="J145" i="1"/>
  <c r="K145" i="1"/>
  <c r="L145" i="1"/>
  <c r="O145" i="1"/>
  <c r="D146" i="1"/>
  <c r="E146" i="1"/>
  <c r="F146" i="1"/>
  <c r="G146" i="1"/>
  <c r="H146" i="1"/>
  <c r="I146" i="1"/>
  <c r="J146" i="1"/>
  <c r="K146" i="1"/>
  <c r="L146" i="1"/>
  <c r="O146" i="1"/>
  <c r="D147" i="1"/>
  <c r="E147" i="1"/>
  <c r="F147" i="1"/>
  <c r="G147" i="1"/>
  <c r="H147" i="1"/>
  <c r="I147" i="1"/>
  <c r="J147" i="1"/>
  <c r="K147" i="1"/>
  <c r="L147" i="1"/>
  <c r="O147" i="1"/>
  <c r="D148" i="1"/>
  <c r="E148" i="1"/>
  <c r="F148" i="1"/>
  <c r="G148" i="1"/>
  <c r="H148" i="1"/>
  <c r="I148" i="1"/>
  <c r="J148" i="1"/>
  <c r="K148" i="1"/>
  <c r="L148" i="1"/>
  <c r="O148" i="1"/>
  <c r="D149" i="1"/>
  <c r="E149" i="1"/>
  <c r="F149" i="1"/>
  <c r="G149" i="1"/>
  <c r="H149" i="1"/>
  <c r="I149" i="1"/>
  <c r="J149" i="1"/>
  <c r="K149" i="1"/>
  <c r="L149" i="1"/>
  <c r="O149" i="1"/>
  <c r="D150" i="1"/>
  <c r="E150" i="1"/>
  <c r="F150" i="1"/>
  <c r="G150" i="1"/>
  <c r="H150" i="1"/>
  <c r="I150" i="1"/>
  <c r="J150" i="1"/>
  <c r="K150" i="1"/>
  <c r="L150" i="1"/>
  <c r="O150" i="1"/>
  <c r="D151" i="1"/>
  <c r="E151" i="1"/>
  <c r="F151" i="1"/>
  <c r="G151" i="1"/>
  <c r="H151" i="1"/>
  <c r="I151" i="1"/>
  <c r="J151" i="1"/>
  <c r="K151" i="1"/>
  <c r="L151" i="1"/>
  <c r="O151" i="1"/>
  <c r="D152" i="1"/>
  <c r="E152" i="1"/>
  <c r="F152" i="1"/>
  <c r="G152" i="1"/>
  <c r="H152" i="1"/>
  <c r="I152" i="1"/>
  <c r="J152" i="1"/>
  <c r="K152" i="1"/>
  <c r="L152" i="1"/>
  <c r="O152" i="1"/>
  <c r="D153" i="1"/>
  <c r="E153" i="1"/>
  <c r="F153" i="1"/>
  <c r="G153" i="1"/>
  <c r="H153" i="1"/>
  <c r="I153" i="1"/>
  <c r="J153" i="1"/>
  <c r="K153" i="1"/>
  <c r="L153" i="1"/>
  <c r="O153" i="1"/>
  <c r="D154" i="1"/>
  <c r="E154" i="1"/>
  <c r="F154" i="1"/>
  <c r="G154" i="1"/>
  <c r="H154" i="1"/>
  <c r="I154" i="1"/>
  <c r="J154" i="1"/>
  <c r="K154" i="1"/>
  <c r="L154" i="1"/>
  <c r="O154" i="1"/>
  <c r="D155" i="1"/>
  <c r="E155" i="1"/>
  <c r="F155" i="1"/>
  <c r="G155" i="1"/>
  <c r="H155" i="1"/>
  <c r="I155" i="1"/>
  <c r="J155" i="1"/>
  <c r="K155" i="1"/>
  <c r="L155" i="1"/>
  <c r="O155" i="1"/>
  <c r="D156" i="1"/>
  <c r="E156" i="1"/>
  <c r="F156" i="1"/>
  <c r="G156" i="1"/>
  <c r="H156" i="1"/>
  <c r="I156" i="1"/>
  <c r="J156" i="1"/>
  <c r="K156" i="1"/>
  <c r="L156" i="1"/>
  <c r="O156" i="1"/>
  <c r="D157" i="1"/>
  <c r="E157" i="1"/>
  <c r="F157" i="1"/>
  <c r="G157" i="1"/>
  <c r="H157" i="1"/>
  <c r="I157" i="1"/>
  <c r="J157" i="1"/>
  <c r="K157" i="1"/>
  <c r="L157" i="1"/>
  <c r="O157" i="1"/>
  <c r="D158" i="1"/>
  <c r="E158" i="1"/>
  <c r="F158" i="1"/>
  <c r="G158" i="1"/>
  <c r="H158" i="1"/>
  <c r="I158" i="1"/>
  <c r="J158" i="1"/>
  <c r="K158" i="1"/>
  <c r="L158" i="1"/>
  <c r="O158" i="1"/>
  <c r="D159" i="1"/>
  <c r="E159" i="1"/>
  <c r="F159" i="1"/>
  <c r="G159" i="1"/>
  <c r="H159" i="1"/>
  <c r="I159" i="1"/>
  <c r="J159" i="1"/>
  <c r="K159" i="1"/>
  <c r="L159" i="1"/>
  <c r="O159" i="1"/>
  <c r="D160" i="1"/>
  <c r="E160" i="1"/>
  <c r="F160" i="1"/>
  <c r="G160" i="1"/>
  <c r="H160" i="1"/>
  <c r="I160" i="1"/>
  <c r="J160" i="1"/>
  <c r="K160" i="1"/>
  <c r="L160" i="1"/>
  <c r="O160" i="1"/>
  <c r="D161" i="1"/>
  <c r="E161" i="1"/>
  <c r="F161" i="1"/>
  <c r="G161" i="1"/>
  <c r="H161" i="1"/>
  <c r="I161" i="1"/>
  <c r="J161" i="1"/>
  <c r="K161" i="1"/>
  <c r="L161" i="1"/>
  <c r="O161" i="1"/>
  <c r="D162" i="1"/>
  <c r="E162" i="1"/>
  <c r="F162" i="1"/>
  <c r="G162" i="1"/>
  <c r="H162" i="1"/>
  <c r="I162" i="1"/>
  <c r="J162" i="1"/>
  <c r="K162" i="1"/>
  <c r="L162" i="1"/>
  <c r="O162" i="1"/>
  <c r="D163" i="1"/>
  <c r="E163" i="1"/>
  <c r="F163" i="1"/>
  <c r="G163" i="1"/>
  <c r="H163" i="1"/>
  <c r="I163" i="1"/>
  <c r="J163" i="1"/>
  <c r="K163" i="1"/>
  <c r="L163" i="1"/>
  <c r="O163" i="1"/>
  <c r="D164" i="1"/>
  <c r="E164" i="1"/>
  <c r="F164" i="1"/>
  <c r="G164" i="1"/>
  <c r="H164" i="1"/>
  <c r="I164" i="1"/>
  <c r="J164" i="1"/>
  <c r="K164" i="1"/>
  <c r="L164" i="1"/>
  <c r="O164" i="1"/>
  <c r="D165" i="1"/>
  <c r="E165" i="1"/>
  <c r="F165" i="1"/>
  <c r="G165" i="1"/>
  <c r="H165" i="1"/>
  <c r="I165" i="1"/>
  <c r="J165" i="1"/>
  <c r="K165" i="1"/>
  <c r="L165" i="1"/>
  <c r="O165" i="1"/>
  <c r="D166" i="1"/>
  <c r="E166" i="1"/>
  <c r="F166" i="1"/>
  <c r="G166" i="1"/>
  <c r="H166" i="1"/>
  <c r="I166" i="1"/>
  <c r="J166" i="1"/>
  <c r="K166" i="1"/>
  <c r="L166" i="1"/>
  <c r="O166" i="1"/>
  <c r="D167" i="1"/>
  <c r="E167" i="1"/>
  <c r="F167" i="1"/>
  <c r="G167" i="1"/>
  <c r="H167" i="1"/>
  <c r="I167" i="1"/>
  <c r="J167" i="1"/>
  <c r="K167" i="1"/>
  <c r="L167" i="1"/>
  <c r="O167" i="1"/>
  <c r="D168" i="1"/>
  <c r="E168" i="1"/>
  <c r="F168" i="1"/>
  <c r="G168" i="1"/>
  <c r="H168" i="1"/>
  <c r="I168" i="1"/>
  <c r="J168" i="1"/>
  <c r="K168" i="1"/>
  <c r="L168" i="1"/>
  <c r="O168" i="1"/>
  <c r="D169" i="1"/>
  <c r="E169" i="1"/>
  <c r="F169" i="1"/>
  <c r="G169" i="1"/>
  <c r="H169" i="1"/>
  <c r="I169" i="1"/>
  <c r="J169" i="1"/>
  <c r="K169" i="1"/>
  <c r="L169" i="1"/>
  <c r="O169" i="1"/>
  <c r="D170" i="1"/>
  <c r="E170" i="1"/>
  <c r="F170" i="1"/>
  <c r="G170" i="1"/>
  <c r="H170" i="1"/>
  <c r="I170" i="1"/>
  <c r="J170" i="1"/>
  <c r="K170" i="1"/>
  <c r="L170" i="1"/>
  <c r="O170" i="1"/>
  <c r="D73" i="1"/>
  <c r="E73" i="1"/>
  <c r="F73" i="1"/>
  <c r="G73" i="1"/>
  <c r="H73" i="1"/>
  <c r="I73" i="1"/>
  <c r="J73" i="1"/>
  <c r="K73" i="1"/>
  <c r="L73" i="1"/>
  <c r="O73" i="1"/>
  <c r="D171" i="1"/>
  <c r="E171" i="1"/>
  <c r="F171" i="1"/>
  <c r="G171" i="1"/>
  <c r="H171" i="1"/>
  <c r="I171" i="1"/>
  <c r="J171" i="1"/>
  <c r="K171" i="1"/>
  <c r="L171" i="1"/>
  <c r="O171" i="1"/>
  <c r="D172" i="1"/>
  <c r="E172" i="1"/>
  <c r="F172" i="1"/>
  <c r="G172" i="1"/>
  <c r="H172" i="1"/>
  <c r="I172" i="1"/>
  <c r="J172" i="1"/>
  <c r="K172" i="1"/>
  <c r="L172" i="1"/>
  <c r="O172" i="1"/>
  <c r="D173" i="1"/>
  <c r="E173" i="1"/>
  <c r="F173" i="1"/>
  <c r="G173" i="1"/>
  <c r="H173" i="1"/>
  <c r="I173" i="1"/>
  <c r="J173" i="1"/>
  <c r="K173" i="1"/>
  <c r="L173" i="1"/>
  <c r="O173" i="1"/>
  <c r="D174" i="1"/>
  <c r="E174" i="1"/>
  <c r="F174" i="1"/>
  <c r="G174" i="1"/>
  <c r="H174" i="1"/>
  <c r="I174" i="1"/>
  <c r="J174" i="1"/>
  <c r="K174" i="1"/>
  <c r="L174" i="1"/>
  <c r="O174" i="1"/>
  <c r="D175" i="1"/>
  <c r="E175" i="1"/>
  <c r="F175" i="1"/>
  <c r="G175" i="1"/>
  <c r="H175" i="1"/>
  <c r="I175" i="1"/>
  <c r="J175" i="1"/>
  <c r="K175" i="1"/>
  <c r="L175" i="1"/>
  <c r="O175" i="1"/>
  <c r="D61" i="1"/>
  <c r="E61" i="1"/>
  <c r="F61" i="1"/>
  <c r="G61" i="1"/>
  <c r="H61" i="1"/>
  <c r="I61" i="1"/>
  <c r="J61" i="1"/>
  <c r="K61" i="1"/>
  <c r="L61" i="1"/>
  <c r="O61" i="1"/>
  <c r="D74" i="1"/>
  <c r="E74" i="1"/>
  <c r="F74" i="1"/>
  <c r="G74" i="1"/>
  <c r="H74" i="1"/>
  <c r="I74" i="1"/>
  <c r="J74" i="1"/>
  <c r="K74" i="1"/>
  <c r="L74" i="1"/>
  <c r="O74" i="1"/>
  <c r="D76" i="1"/>
  <c r="E76" i="1"/>
  <c r="F76" i="1"/>
  <c r="G76" i="1"/>
  <c r="H76" i="1"/>
  <c r="I76" i="1"/>
  <c r="J76" i="1"/>
  <c r="K76" i="1"/>
  <c r="L76" i="1"/>
  <c r="O76" i="1"/>
  <c r="D78" i="1"/>
  <c r="E78" i="1"/>
  <c r="F78" i="1"/>
  <c r="G78" i="1"/>
  <c r="H78" i="1"/>
  <c r="I78" i="1"/>
  <c r="J78" i="1"/>
  <c r="K78" i="1"/>
  <c r="L78" i="1"/>
  <c r="O78" i="1"/>
  <c r="D82" i="1"/>
  <c r="E82" i="1"/>
  <c r="F82" i="1"/>
  <c r="G82" i="1"/>
  <c r="H82" i="1"/>
  <c r="I82" i="1"/>
  <c r="J82" i="1"/>
  <c r="K82" i="1"/>
  <c r="L82" i="1"/>
  <c r="O82" i="1"/>
  <c r="D84" i="1"/>
  <c r="E84" i="1"/>
  <c r="F84" i="1"/>
  <c r="G84" i="1"/>
  <c r="H84" i="1"/>
  <c r="I84" i="1"/>
  <c r="J84" i="1"/>
  <c r="K84" i="1"/>
  <c r="L84" i="1"/>
  <c r="O84" i="1"/>
  <c r="D86" i="1"/>
  <c r="E86" i="1"/>
  <c r="F86" i="1"/>
  <c r="G86" i="1"/>
  <c r="H86" i="1"/>
  <c r="I86" i="1"/>
  <c r="J86" i="1"/>
  <c r="K86" i="1"/>
  <c r="L86" i="1"/>
  <c r="O86" i="1"/>
  <c r="D90" i="1"/>
  <c r="E90" i="1"/>
  <c r="F90" i="1"/>
  <c r="G90" i="1"/>
  <c r="H90" i="1"/>
  <c r="I90" i="1"/>
  <c r="J90" i="1"/>
  <c r="K90" i="1"/>
  <c r="L90" i="1"/>
  <c r="O90" i="1"/>
  <c r="D92" i="1"/>
  <c r="E92" i="1"/>
  <c r="F92" i="1"/>
  <c r="G92" i="1"/>
  <c r="H92" i="1"/>
  <c r="I92" i="1"/>
  <c r="J92" i="1"/>
  <c r="K92" i="1"/>
  <c r="L92" i="1"/>
  <c r="O92" i="1"/>
  <c r="D94" i="1"/>
  <c r="E94" i="1"/>
  <c r="F94" i="1"/>
  <c r="G94" i="1"/>
  <c r="H94" i="1"/>
  <c r="I94" i="1"/>
  <c r="J94" i="1"/>
  <c r="K94" i="1"/>
  <c r="L94" i="1"/>
  <c r="O94" i="1"/>
  <c r="D97" i="1"/>
  <c r="E97" i="1"/>
  <c r="F97" i="1"/>
  <c r="G97" i="1"/>
  <c r="H97" i="1"/>
  <c r="I97" i="1"/>
  <c r="J97" i="1"/>
  <c r="K97" i="1"/>
  <c r="L97" i="1"/>
  <c r="O97" i="1"/>
  <c r="D101" i="1"/>
  <c r="E101" i="1"/>
  <c r="F101" i="1"/>
  <c r="G101" i="1"/>
  <c r="H101" i="1"/>
  <c r="I101" i="1"/>
  <c r="J101" i="1"/>
  <c r="K101" i="1"/>
  <c r="L101" i="1"/>
  <c r="O101" i="1"/>
  <c r="D105" i="1"/>
  <c r="E105" i="1"/>
  <c r="F105" i="1"/>
  <c r="G105" i="1"/>
  <c r="H105" i="1"/>
  <c r="I105" i="1"/>
  <c r="J105" i="1"/>
  <c r="K105" i="1"/>
  <c r="L105" i="1"/>
  <c r="O105" i="1"/>
  <c r="D108" i="1"/>
  <c r="E108" i="1"/>
  <c r="F108" i="1"/>
  <c r="G108" i="1"/>
  <c r="H108" i="1"/>
  <c r="I108" i="1"/>
  <c r="J108" i="1"/>
  <c r="K108" i="1"/>
  <c r="L108" i="1"/>
  <c r="O108" i="1"/>
  <c r="D110" i="1"/>
  <c r="E110" i="1"/>
  <c r="F110" i="1"/>
  <c r="G110" i="1"/>
  <c r="H110" i="1"/>
  <c r="I110" i="1"/>
  <c r="J110" i="1"/>
  <c r="K110" i="1"/>
  <c r="L110" i="1"/>
  <c r="O110" i="1"/>
  <c r="D116" i="1"/>
  <c r="E116" i="1"/>
  <c r="F116" i="1"/>
  <c r="G116" i="1"/>
  <c r="H116" i="1"/>
  <c r="I116" i="1"/>
  <c r="J116" i="1"/>
  <c r="K116" i="1"/>
  <c r="L116" i="1"/>
  <c r="O116" i="1"/>
  <c r="D121" i="1"/>
  <c r="E121" i="1"/>
  <c r="F121" i="1"/>
  <c r="G121" i="1"/>
  <c r="H121" i="1"/>
  <c r="I121" i="1"/>
  <c r="J121" i="1"/>
  <c r="K121" i="1"/>
  <c r="L121" i="1"/>
  <c r="O121" i="1"/>
  <c r="D126" i="1"/>
  <c r="E126" i="1"/>
  <c r="F126" i="1"/>
  <c r="G126" i="1"/>
  <c r="H126" i="1"/>
  <c r="I126" i="1"/>
  <c r="J126" i="1"/>
  <c r="K126" i="1"/>
  <c r="L126" i="1"/>
  <c r="O126" i="1"/>
  <c r="D131" i="1"/>
  <c r="E131" i="1"/>
  <c r="F131" i="1"/>
  <c r="G131" i="1"/>
  <c r="H131" i="1"/>
  <c r="I131" i="1"/>
  <c r="J131" i="1"/>
  <c r="K131" i="1"/>
  <c r="L131" i="1"/>
  <c r="O131" i="1"/>
  <c r="D134" i="1"/>
  <c r="E134" i="1"/>
  <c r="F134" i="1"/>
  <c r="G134" i="1"/>
  <c r="H134" i="1"/>
  <c r="I134" i="1"/>
  <c r="J134" i="1"/>
  <c r="K134" i="1"/>
  <c r="L134" i="1"/>
  <c r="O134" i="1"/>
  <c r="D139" i="1"/>
  <c r="E139" i="1"/>
  <c r="F139" i="1"/>
  <c r="G139" i="1"/>
  <c r="H139" i="1"/>
  <c r="I139" i="1"/>
  <c r="J139" i="1"/>
  <c r="K139" i="1"/>
  <c r="L139" i="1"/>
  <c r="O139" i="1"/>
  <c r="D176" i="1"/>
  <c r="E176" i="1"/>
  <c r="F176" i="1"/>
  <c r="G176" i="1"/>
  <c r="H176" i="1"/>
  <c r="I176" i="1"/>
  <c r="J176" i="1"/>
  <c r="K176" i="1"/>
  <c r="L176" i="1"/>
  <c r="O176" i="1"/>
  <c r="D177" i="1"/>
  <c r="E177" i="1"/>
  <c r="F177" i="1"/>
  <c r="G177" i="1"/>
  <c r="H177" i="1"/>
  <c r="I177" i="1"/>
  <c r="J177" i="1"/>
  <c r="K177" i="1"/>
  <c r="L177" i="1"/>
  <c r="O177" i="1"/>
  <c r="D178" i="1"/>
  <c r="E178" i="1"/>
  <c r="F178" i="1"/>
  <c r="G178" i="1"/>
  <c r="H178" i="1"/>
  <c r="I178" i="1"/>
  <c r="J178" i="1"/>
  <c r="K178" i="1"/>
  <c r="L178" i="1"/>
  <c r="O178" i="1"/>
  <c r="D179" i="1"/>
  <c r="E179" i="1"/>
  <c r="F179" i="1"/>
  <c r="G179" i="1"/>
  <c r="H179" i="1"/>
  <c r="I179" i="1"/>
  <c r="J179" i="1"/>
  <c r="K179" i="1"/>
  <c r="L179" i="1"/>
  <c r="O179" i="1"/>
  <c r="D180" i="1"/>
  <c r="E180" i="1"/>
  <c r="F180" i="1"/>
  <c r="G180" i="1"/>
  <c r="H180" i="1"/>
  <c r="I180" i="1"/>
  <c r="J180" i="1"/>
  <c r="K180" i="1"/>
  <c r="L180" i="1"/>
  <c r="O180" i="1"/>
  <c r="D181" i="1"/>
  <c r="E181" i="1"/>
  <c r="F181" i="1"/>
  <c r="G181" i="1"/>
  <c r="H181" i="1"/>
  <c r="I181" i="1"/>
  <c r="J181" i="1"/>
  <c r="K181" i="1"/>
  <c r="L181" i="1"/>
  <c r="O181" i="1"/>
  <c r="D182" i="1"/>
  <c r="E182" i="1"/>
  <c r="F182" i="1"/>
  <c r="G182" i="1"/>
  <c r="H182" i="1"/>
  <c r="I182" i="1"/>
  <c r="J182" i="1"/>
  <c r="K182" i="1"/>
  <c r="L182" i="1"/>
  <c r="O182" i="1"/>
  <c r="D62" i="1"/>
  <c r="E62" i="1"/>
  <c r="F62" i="1"/>
  <c r="G62" i="1"/>
  <c r="H62" i="1"/>
  <c r="I62" i="1"/>
  <c r="J62" i="1"/>
  <c r="K62" i="1"/>
  <c r="L62" i="1"/>
  <c r="O62" i="1"/>
  <c r="D75" i="1"/>
  <c r="E75" i="1"/>
  <c r="F75" i="1"/>
  <c r="G75" i="1"/>
  <c r="H75" i="1"/>
  <c r="I75" i="1"/>
  <c r="J75" i="1"/>
  <c r="K75" i="1"/>
  <c r="L75" i="1"/>
  <c r="O75" i="1"/>
  <c r="D77" i="1"/>
  <c r="E77" i="1"/>
  <c r="F77" i="1"/>
  <c r="G77" i="1"/>
  <c r="H77" i="1"/>
  <c r="I77" i="1"/>
  <c r="J77" i="1"/>
  <c r="K77" i="1"/>
  <c r="L77" i="1"/>
  <c r="O77" i="1"/>
  <c r="D79" i="1"/>
  <c r="E79" i="1"/>
  <c r="F79" i="1"/>
  <c r="G79" i="1"/>
  <c r="H79" i="1"/>
  <c r="I79" i="1"/>
  <c r="J79" i="1"/>
  <c r="K79" i="1"/>
  <c r="L79" i="1"/>
  <c r="O79" i="1"/>
  <c r="D85" i="1"/>
  <c r="E85" i="1"/>
  <c r="F85" i="1"/>
  <c r="G85" i="1"/>
  <c r="H85" i="1"/>
  <c r="I85" i="1"/>
  <c r="J85" i="1"/>
  <c r="K85" i="1"/>
  <c r="L85" i="1"/>
  <c r="O85" i="1"/>
  <c r="D87" i="1"/>
  <c r="E87" i="1"/>
  <c r="F87" i="1"/>
  <c r="G87" i="1"/>
  <c r="H87" i="1"/>
  <c r="I87" i="1"/>
  <c r="J87" i="1"/>
  <c r="K87" i="1"/>
  <c r="L87" i="1"/>
  <c r="O87" i="1"/>
  <c r="D91" i="1"/>
  <c r="E91" i="1"/>
  <c r="F91" i="1"/>
  <c r="G91" i="1"/>
  <c r="H91" i="1"/>
  <c r="I91" i="1"/>
  <c r="J91" i="1"/>
  <c r="K91" i="1"/>
  <c r="L91" i="1"/>
  <c r="O91" i="1"/>
  <c r="D93" i="1"/>
  <c r="E93" i="1"/>
  <c r="F93" i="1"/>
  <c r="G93" i="1"/>
  <c r="H93" i="1"/>
  <c r="I93" i="1"/>
  <c r="J93" i="1"/>
  <c r="K93" i="1"/>
  <c r="L93" i="1"/>
  <c r="O93" i="1"/>
  <c r="D98" i="1"/>
  <c r="E98" i="1"/>
  <c r="F98" i="1"/>
  <c r="G98" i="1"/>
  <c r="H98" i="1"/>
  <c r="I98" i="1"/>
  <c r="J98" i="1"/>
  <c r="K98" i="1"/>
  <c r="L98" i="1"/>
  <c r="O98" i="1"/>
  <c r="D102" i="1"/>
  <c r="E102" i="1"/>
  <c r="F102" i="1"/>
  <c r="G102" i="1"/>
  <c r="H102" i="1"/>
  <c r="I102" i="1"/>
  <c r="J102" i="1"/>
  <c r="K102" i="1"/>
  <c r="L102" i="1"/>
  <c r="O102" i="1"/>
  <c r="D106" i="1"/>
  <c r="E106" i="1"/>
  <c r="F106" i="1"/>
  <c r="G106" i="1"/>
  <c r="H106" i="1"/>
  <c r="I106" i="1"/>
  <c r="J106" i="1"/>
  <c r="K106" i="1"/>
  <c r="L106" i="1"/>
  <c r="O106" i="1"/>
  <c r="D109" i="1"/>
  <c r="E109" i="1"/>
  <c r="F109" i="1"/>
  <c r="G109" i="1"/>
  <c r="H109" i="1"/>
  <c r="I109" i="1"/>
  <c r="J109" i="1"/>
  <c r="K109" i="1"/>
  <c r="L109" i="1"/>
  <c r="O109" i="1"/>
  <c r="D111" i="1"/>
  <c r="E111" i="1"/>
  <c r="F111" i="1"/>
  <c r="G111" i="1"/>
  <c r="H111" i="1"/>
  <c r="I111" i="1"/>
  <c r="J111" i="1"/>
  <c r="K111" i="1"/>
  <c r="L111" i="1"/>
  <c r="O111" i="1"/>
  <c r="D117" i="1"/>
  <c r="E117" i="1"/>
  <c r="F117" i="1"/>
  <c r="G117" i="1"/>
  <c r="H117" i="1"/>
  <c r="I117" i="1"/>
  <c r="J117" i="1"/>
  <c r="K117" i="1"/>
  <c r="L117" i="1"/>
  <c r="O117" i="1"/>
  <c r="D122" i="1"/>
  <c r="E122" i="1"/>
  <c r="F122" i="1"/>
  <c r="G122" i="1"/>
  <c r="H122" i="1"/>
  <c r="I122" i="1"/>
  <c r="J122" i="1"/>
  <c r="K122" i="1"/>
  <c r="L122" i="1"/>
  <c r="O122" i="1"/>
  <c r="D127" i="1"/>
  <c r="E127" i="1"/>
  <c r="F127" i="1"/>
  <c r="G127" i="1"/>
  <c r="H127" i="1"/>
  <c r="I127" i="1"/>
  <c r="J127" i="1"/>
  <c r="K127" i="1"/>
  <c r="L127" i="1"/>
  <c r="O127" i="1"/>
  <c r="D132" i="1"/>
  <c r="E132" i="1"/>
  <c r="F132" i="1"/>
  <c r="G132" i="1"/>
  <c r="H132" i="1"/>
  <c r="I132" i="1"/>
  <c r="J132" i="1"/>
  <c r="K132" i="1"/>
  <c r="L132" i="1"/>
  <c r="O132" i="1"/>
  <c r="D135" i="1"/>
  <c r="E135" i="1"/>
  <c r="F135" i="1"/>
  <c r="G135" i="1"/>
  <c r="H135" i="1"/>
  <c r="I135" i="1"/>
  <c r="J135" i="1"/>
  <c r="K135" i="1"/>
  <c r="L135" i="1"/>
  <c r="O135" i="1"/>
  <c r="D140" i="1"/>
  <c r="E140" i="1"/>
  <c r="F140" i="1"/>
  <c r="G140" i="1"/>
  <c r="H140" i="1"/>
  <c r="I140" i="1"/>
  <c r="J140" i="1"/>
  <c r="K140" i="1"/>
  <c r="L140" i="1"/>
  <c r="O140" i="1"/>
  <c r="D183" i="1"/>
  <c r="E183" i="1"/>
  <c r="F183" i="1"/>
  <c r="G183" i="1"/>
  <c r="H183" i="1"/>
  <c r="I183" i="1"/>
  <c r="J183" i="1"/>
  <c r="K183" i="1"/>
  <c r="L183" i="1"/>
  <c r="O183" i="1"/>
  <c r="D184" i="1"/>
  <c r="E184" i="1"/>
  <c r="F184" i="1"/>
  <c r="G184" i="1"/>
  <c r="H184" i="1"/>
  <c r="I184" i="1"/>
  <c r="J184" i="1"/>
  <c r="K184" i="1"/>
  <c r="L184" i="1"/>
  <c r="O184" i="1"/>
  <c r="D185" i="1"/>
  <c r="E185" i="1"/>
  <c r="F185" i="1"/>
  <c r="G185" i="1"/>
  <c r="H185" i="1"/>
  <c r="I185" i="1"/>
  <c r="J185" i="1"/>
  <c r="K185" i="1"/>
  <c r="L185" i="1"/>
  <c r="O185" i="1"/>
  <c r="D186" i="1"/>
  <c r="E186" i="1"/>
  <c r="F186" i="1"/>
  <c r="G186" i="1"/>
  <c r="H186" i="1"/>
  <c r="I186" i="1"/>
  <c r="J186" i="1"/>
  <c r="K186" i="1"/>
  <c r="L186" i="1"/>
  <c r="O186" i="1"/>
  <c r="D187" i="1"/>
  <c r="E187" i="1"/>
  <c r="F187" i="1"/>
  <c r="G187" i="1"/>
  <c r="H187" i="1"/>
  <c r="I187" i="1"/>
  <c r="J187" i="1"/>
  <c r="K187" i="1"/>
  <c r="L187" i="1"/>
  <c r="O187" i="1"/>
  <c r="D188" i="1"/>
  <c r="E188" i="1"/>
  <c r="F188" i="1"/>
  <c r="G188" i="1"/>
  <c r="H188" i="1"/>
  <c r="I188" i="1"/>
  <c r="J188" i="1"/>
  <c r="K188" i="1"/>
  <c r="L188" i="1"/>
  <c r="O188" i="1"/>
  <c r="D189" i="1"/>
  <c r="E189" i="1"/>
  <c r="F189" i="1"/>
  <c r="G189" i="1"/>
  <c r="H189" i="1"/>
  <c r="I189" i="1"/>
  <c r="J189" i="1"/>
  <c r="K189" i="1"/>
  <c r="L189" i="1"/>
  <c r="O189" i="1"/>
  <c r="D118" i="1"/>
  <c r="E118" i="1"/>
  <c r="F118" i="1"/>
  <c r="G118" i="1"/>
  <c r="H118" i="1"/>
  <c r="I118" i="1"/>
  <c r="J118" i="1"/>
  <c r="K118" i="1"/>
  <c r="L118" i="1"/>
  <c r="O118" i="1"/>
  <c r="D128" i="1"/>
  <c r="E128" i="1"/>
  <c r="F128" i="1"/>
  <c r="G128" i="1"/>
  <c r="H128" i="1"/>
  <c r="I128" i="1"/>
  <c r="J128" i="1"/>
  <c r="K128" i="1"/>
  <c r="L128" i="1"/>
  <c r="O128" i="1"/>
  <c r="D190" i="1"/>
  <c r="E190" i="1"/>
  <c r="F190" i="1"/>
  <c r="G190" i="1"/>
  <c r="H190" i="1"/>
  <c r="I190" i="1"/>
  <c r="J190" i="1"/>
  <c r="K190" i="1"/>
  <c r="L190" i="1"/>
  <c r="O190" i="1"/>
  <c r="D191" i="1"/>
  <c r="E191" i="1"/>
  <c r="F191" i="1"/>
  <c r="G191" i="1"/>
  <c r="H191" i="1"/>
  <c r="I191" i="1"/>
  <c r="J191" i="1"/>
  <c r="K191" i="1"/>
  <c r="L191" i="1"/>
  <c r="O191" i="1"/>
  <c r="D192" i="1"/>
  <c r="E192" i="1"/>
  <c r="F192" i="1"/>
  <c r="G192" i="1"/>
  <c r="H192" i="1"/>
  <c r="I192" i="1"/>
  <c r="J192" i="1"/>
  <c r="K192" i="1"/>
  <c r="L192" i="1"/>
  <c r="O192" i="1"/>
  <c r="D193" i="1"/>
  <c r="E193" i="1"/>
  <c r="F193" i="1"/>
  <c r="G193" i="1"/>
  <c r="H193" i="1"/>
  <c r="I193" i="1"/>
  <c r="J193" i="1"/>
  <c r="K193" i="1"/>
  <c r="L193" i="1"/>
  <c r="O193" i="1"/>
  <c r="D194" i="1"/>
  <c r="E194" i="1"/>
  <c r="F194" i="1"/>
  <c r="G194" i="1"/>
  <c r="H194" i="1"/>
  <c r="I194" i="1"/>
  <c r="J194" i="1"/>
  <c r="K194" i="1"/>
  <c r="L194" i="1"/>
  <c r="O194" i="1"/>
  <c r="D195" i="1"/>
  <c r="E195" i="1"/>
  <c r="F195" i="1"/>
  <c r="G195" i="1"/>
  <c r="H195" i="1"/>
  <c r="I195" i="1"/>
  <c r="J195" i="1"/>
  <c r="K195" i="1"/>
  <c r="L195" i="1"/>
  <c r="O195" i="1"/>
  <c r="D197" i="1"/>
  <c r="E197" i="1"/>
  <c r="F197" i="1"/>
  <c r="G197" i="1"/>
  <c r="H197" i="1"/>
  <c r="I197" i="1"/>
  <c r="J197" i="1"/>
  <c r="K197" i="1"/>
  <c r="L197" i="1"/>
  <c r="O197" i="1"/>
  <c r="A196" i="1"/>
  <c r="A195" i="1"/>
  <c r="A194" i="1"/>
  <c r="A193" i="1"/>
  <c r="A192" i="1"/>
  <c r="A191" i="1"/>
  <c r="A190" i="1"/>
  <c r="A128" i="1"/>
  <c r="A118" i="1"/>
  <c r="A189" i="1"/>
  <c r="A188" i="1"/>
  <c r="A187" i="1"/>
  <c r="A186" i="1"/>
  <c r="A185" i="1"/>
  <c r="A184" i="1"/>
  <c r="A183" i="1"/>
  <c r="A140" i="1"/>
  <c r="A135" i="1"/>
  <c r="A132" i="1"/>
  <c r="A127" i="1"/>
  <c r="A122" i="1"/>
  <c r="A117" i="1"/>
  <c r="A111" i="1"/>
  <c r="A109" i="1"/>
  <c r="A106" i="1"/>
  <c r="A102" i="1"/>
  <c r="A98" i="1"/>
  <c r="A93" i="1"/>
  <c r="A91" i="1"/>
  <c r="A87" i="1"/>
  <c r="A85" i="1"/>
  <c r="A79" i="1"/>
  <c r="A77" i="1"/>
  <c r="A75" i="1"/>
  <c r="A62" i="1"/>
  <c r="A182" i="1"/>
  <c r="A181" i="1"/>
  <c r="A180" i="1"/>
  <c r="A179" i="1"/>
  <c r="A178" i="1"/>
  <c r="A177" i="1"/>
  <c r="A176" i="1"/>
  <c r="A139" i="1"/>
  <c r="A134" i="1"/>
  <c r="A131" i="1"/>
  <c r="A126" i="1"/>
  <c r="A121" i="1"/>
  <c r="A116" i="1"/>
  <c r="A110" i="1"/>
  <c r="A108" i="1"/>
  <c r="A105" i="1"/>
  <c r="A101" i="1"/>
  <c r="A97" i="1"/>
  <c r="A94" i="1"/>
  <c r="A92" i="1"/>
  <c r="A90" i="1"/>
  <c r="A86" i="1"/>
  <c r="A84" i="1"/>
  <c r="A82" i="1"/>
  <c r="A78" i="1"/>
  <c r="A76" i="1"/>
  <c r="A74" i="1"/>
  <c r="A61" i="1"/>
  <c r="A175" i="1"/>
  <c r="A174" i="1"/>
  <c r="A173" i="1"/>
  <c r="A172" i="1"/>
  <c r="A171" i="1"/>
  <c r="A73"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38" i="1"/>
  <c r="A137" i="1"/>
  <c r="A136" i="1"/>
  <c r="A64" i="1"/>
  <c r="A133" i="1"/>
  <c r="A130" i="1"/>
  <c r="A129" i="1"/>
  <c r="A125" i="1"/>
  <c r="A124" i="1"/>
  <c r="A123" i="1"/>
  <c r="A120" i="1"/>
  <c r="A119" i="1"/>
  <c r="A115" i="1"/>
  <c r="A114" i="1"/>
  <c r="A113" i="1"/>
  <c r="A112" i="1"/>
  <c r="A107" i="1"/>
  <c r="A104" i="1"/>
  <c r="A103" i="1"/>
  <c r="A100" i="1"/>
  <c r="A99" i="1"/>
  <c r="A96" i="1"/>
  <c r="A95" i="1"/>
  <c r="A89" i="1"/>
  <c r="A88" i="1"/>
  <c r="A83" i="1"/>
  <c r="A81" i="1"/>
  <c r="A80" i="1"/>
  <c r="A44" i="1"/>
  <c r="A72" i="1"/>
  <c r="A71" i="1"/>
  <c r="A70" i="1"/>
  <c r="A69" i="1"/>
  <c r="A68" i="1"/>
  <c r="A67" i="1"/>
  <c r="A66" i="1"/>
  <c r="A65" i="1"/>
  <c r="A49" i="1"/>
  <c r="A63" i="1"/>
  <c r="A60" i="1"/>
  <c r="A59" i="1"/>
  <c r="A58" i="1"/>
  <c r="A57" i="1"/>
  <c r="A56" i="1"/>
  <c r="A45" i="1"/>
  <c r="A55" i="1"/>
  <c r="A54" i="1"/>
  <c r="A53" i="1"/>
  <c r="A52" i="1"/>
  <c r="A51" i="1"/>
  <c r="A50" i="1"/>
  <c r="A48" i="1"/>
  <c r="A47" i="1"/>
  <c r="A28" i="1"/>
  <c r="A46" i="1"/>
  <c r="A29" i="1"/>
  <c r="A43" i="1"/>
  <c r="A42" i="1"/>
  <c r="A41" i="1"/>
  <c r="A40" i="1"/>
  <c r="A39" i="1"/>
  <c r="A38" i="1"/>
  <c r="A37" i="1"/>
  <c r="A36" i="1"/>
  <c r="A35" i="1"/>
  <c r="A34" i="1"/>
  <c r="A23" i="1"/>
  <c r="A33" i="1"/>
  <c r="A32" i="1"/>
  <c r="A31" i="1"/>
  <c r="A30" i="1"/>
  <c r="A27" i="1"/>
  <c r="A26" i="1"/>
  <c r="A22" i="1"/>
  <c r="A25" i="1"/>
  <c r="A24" i="1"/>
  <c r="A21" i="1"/>
  <c r="A15" i="1"/>
  <c r="A19" i="1"/>
  <c r="A17" i="1"/>
  <c r="A20" i="1"/>
  <c r="A13" i="1"/>
  <c r="A18" i="1"/>
  <c r="A16" i="1"/>
  <c r="A14" i="1"/>
  <c r="A12" i="1"/>
  <c r="A11" i="1"/>
  <c r="A10" i="1"/>
  <c r="A9" i="1"/>
  <c r="A7" i="1"/>
  <c r="A8" i="1"/>
  <c r="A6" i="1"/>
  <c r="A5" i="1"/>
  <c r="A197" i="1"/>
  <c r="C197" i="1"/>
  <c r="P197" i="1"/>
  <c r="C196" i="1"/>
  <c r="P196" i="1"/>
  <c r="C195" i="1"/>
  <c r="P195" i="1"/>
  <c r="C194" i="1"/>
  <c r="P194" i="1"/>
  <c r="C193" i="1"/>
  <c r="P193" i="1"/>
  <c r="C192" i="1"/>
  <c r="P192" i="1"/>
  <c r="C191" i="1"/>
  <c r="P191" i="1"/>
  <c r="C190" i="1"/>
  <c r="P190" i="1"/>
  <c r="C128" i="1"/>
  <c r="P128" i="1"/>
  <c r="C118" i="1"/>
  <c r="P118" i="1"/>
  <c r="C189" i="1"/>
  <c r="P189" i="1"/>
  <c r="C188" i="1"/>
  <c r="P188" i="1"/>
  <c r="C187" i="1"/>
  <c r="P187" i="1"/>
  <c r="C186" i="1"/>
  <c r="P186" i="1"/>
  <c r="C185" i="1"/>
  <c r="P185" i="1"/>
  <c r="C184" i="1"/>
  <c r="P184" i="1"/>
  <c r="C183" i="1"/>
  <c r="P183" i="1"/>
  <c r="C140" i="1"/>
  <c r="P140" i="1"/>
  <c r="G179" i="26"/>
  <c r="G178" i="26"/>
  <c r="G177" i="26"/>
  <c r="G176" i="26"/>
  <c r="G175" i="26"/>
  <c r="G174" i="26"/>
  <c r="G173" i="26"/>
  <c r="G172" i="26"/>
  <c r="G171" i="26"/>
  <c r="G170" i="26"/>
  <c r="G169" i="26"/>
  <c r="G168" i="26"/>
  <c r="G167" i="26"/>
  <c r="G166" i="26"/>
  <c r="G165" i="26"/>
  <c r="G164" i="26"/>
  <c r="G163" i="26"/>
  <c r="G162" i="26"/>
  <c r="G161" i="26"/>
  <c r="G160" i="26"/>
  <c r="G159" i="26"/>
  <c r="G158" i="26"/>
  <c r="G157" i="26"/>
  <c r="G156" i="26"/>
  <c r="G155" i="26"/>
  <c r="G154" i="26"/>
  <c r="G153" i="26"/>
  <c r="G152" i="26"/>
  <c r="G151" i="26"/>
  <c r="G150" i="26"/>
  <c r="G149" i="26"/>
  <c r="G148" i="26"/>
  <c r="G147" i="26"/>
  <c r="G146" i="26"/>
  <c r="G145" i="26"/>
  <c r="G144" i="26"/>
  <c r="G143" i="26"/>
  <c r="G142" i="26"/>
  <c r="G141" i="26"/>
  <c r="G140" i="26"/>
  <c r="G139" i="26"/>
  <c r="G138" i="26"/>
  <c r="G137" i="26"/>
  <c r="G136" i="26"/>
  <c r="G135" i="26"/>
  <c r="G134" i="26"/>
  <c r="G133" i="26"/>
  <c r="G132" i="26"/>
  <c r="G131" i="26"/>
  <c r="G130" i="26"/>
  <c r="G129" i="26"/>
  <c r="G128" i="26"/>
  <c r="G127" i="26"/>
  <c r="G126" i="26"/>
  <c r="G125" i="26"/>
  <c r="G124" i="26"/>
  <c r="G123" i="26"/>
  <c r="G122" i="26"/>
  <c r="G121" i="26"/>
  <c r="G120" i="26"/>
  <c r="G119" i="26"/>
  <c r="G118" i="26"/>
  <c r="G117" i="26"/>
  <c r="G116" i="26"/>
  <c r="G115" i="26"/>
  <c r="G114" i="26"/>
  <c r="G113" i="26"/>
  <c r="G112" i="26"/>
  <c r="G111" i="26"/>
  <c r="G110" i="26"/>
  <c r="G109" i="26"/>
  <c r="G108" i="26"/>
  <c r="G107" i="26"/>
  <c r="G106" i="26"/>
  <c r="G105" i="26"/>
  <c r="G104" i="26"/>
  <c r="G103" i="26"/>
  <c r="G102" i="26"/>
  <c r="G64" i="26"/>
  <c r="G83" i="26"/>
  <c r="G79" i="26"/>
  <c r="G74" i="26"/>
  <c r="G69" i="26"/>
  <c r="G63" i="26"/>
  <c r="G62" i="26"/>
  <c r="G30" i="26"/>
  <c r="G27" i="26"/>
  <c r="G101" i="26"/>
  <c r="G100" i="26"/>
  <c r="G99" i="26"/>
  <c r="G98" i="26"/>
  <c r="G92" i="26"/>
  <c r="G89" i="26"/>
  <c r="G97" i="26"/>
  <c r="G96" i="26"/>
  <c r="G36" i="26"/>
  <c r="G88" i="26"/>
  <c r="G86" i="26"/>
  <c r="G82" i="26"/>
  <c r="G81" i="26"/>
  <c r="G78" i="26"/>
  <c r="G76" i="26"/>
  <c r="G73" i="26"/>
  <c r="G68" i="26"/>
  <c r="G66" i="26"/>
  <c r="G57" i="26"/>
  <c r="G46" i="26"/>
  <c r="G40" i="26"/>
  <c r="G34" i="26"/>
  <c r="G95" i="26"/>
  <c r="G94" i="26"/>
  <c r="G93" i="26"/>
  <c r="G91" i="26"/>
  <c r="G42" i="26"/>
  <c r="G90" i="26"/>
  <c r="G41" i="26"/>
  <c r="G87" i="26"/>
  <c r="G85" i="26"/>
  <c r="G39" i="26"/>
  <c r="G35" i="26"/>
  <c r="G84" i="26"/>
  <c r="G33" i="26"/>
  <c r="G80" i="26"/>
  <c r="G77" i="26"/>
  <c r="G28" i="26"/>
  <c r="G24" i="26"/>
  <c r="G75" i="26"/>
  <c r="G22" i="26"/>
  <c r="G72" i="26"/>
  <c r="G16" i="26"/>
  <c r="G71" i="26"/>
  <c r="G70" i="26"/>
  <c r="G67" i="26"/>
  <c r="G23" i="26"/>
  <c r="G65" i="26"/>
  <c r="G20" i="26"/>
  <c r="G17" i="26"/>
  <c r="G18" i="26"/>
  <c r="G21" i="26"/>
  <c r="G19" i="26"/>
  <c r="G61" i="26"/>
  <c r="G60" i="26"/>
  <c r="G59" i="26"/>
  <c r="G15" i="26"/>
  <c r="G58" i="26"/>
  <c r="G56" i="26"/>
  <c r="G14" i="26"/>
  <c r="G55" i="26"/>
  <c r="G54" i="26"/>
  <c r="G53" i="26"/>
  <c r="G52" i="26"/>
  <c r="G51" i="26"/>
  <c r="G50" i="26"/>
  <c r="G13" i="26"/>
  <c r="G49" i="26"/>
  <c r="G48" i="26"/>
  <c r="G47" i="26"/>
  <c r="G45" i="26"/>
  <c r="G44" i="26"/>
  <c r="G43" i="26"/>
  <c r="G9" i="26"/>
  <c r="G11" i="26"/>
  <c r="G38" i="26"/>
  <c r="G37" i="26"/>
  <c r="G32" i="26"/>
  <c r="G31" i="26"/>
  <c r="G29" i="26"/>
  <c r="G5" i="26"/>
  <c r="G26" i="26"/>
  <c r="G25" i="26"/>
  <c r="G12" i="26"/>
  <c r="G10" i="26"/>
  <c r="G7" i="26"/>
  <c r="G8" i="26"/>
  <c r="G6" i="26"/>
  <c r="D6" i="26"/>
  <c r="E6" i="26"/>
  <c r="F6" i="26"/>
  <c r="J6" i="26"/>
  <c r="AD20" i="29"/>
  <c r="AH67" i="29"/>
  <c r="AH47" i="29"/>
  <c r="AH43" i="29"/>
  <c r="AH71" i="29"/>
  <c r="AH70" i="29"/>
  <c r="AH69" i="29"/>
  <c r="AH68" i="29"/>
  <c r="AH66" i="29"/>
  <c r="AH65" i="29"/>
  <c r="AH64" i="29"/>
  <c r="AH63" i="29"/>
  <c r="AH62" i="29"/>
  <c r="AH61" i="29"/>
  <c r="AH60" i="29"/>
  <c r="AH59" i="29"/>
  <c r="AH58" i="29"/>
  <c r="AH57" i="29"/>
  <c r="AH56" i="29"/>
  <c r="AH55" i="29"/>
  <c r="AH54" i="29"/>
  <c r="AH53" i="29"/>
  <c r="AH52" i="29"/>
  <c r="AH51" i="29"/>
  <c r="AH50" i="29"/>
  <c r="AH49" i="29"/>
  <c r="AH48" i="29"/>
  <c r="AH46" i="29"/>
  <c r="AH45" i="29"/>
  <c r="AH44" i="29"/>
  <c r="AH42" i="29"/>
  <c r="AH41" i="29"/>
  <c r="AH40" i="29"/>
  <c r="AH39" i="29"/>
  <c r="AH38" i="29"/>
  <c r="AH37" i="29"/>
  <c r="AH36" i="29"/>
  <c r="AH35" i="29"/>
  <c r="AH34" i="29"/>
  <c r="AH33" i="29"/>
  <c r="AI54" i="29"/>
  <c r="AI53" i="29"/>
  <c r="AI45" i="29"/>
  <c r="AI44" i="29"/>
  <c r="AI43" i="29"/>
  <c r="B36" i="29"/>
  <c r="Y7" i="29"/>
  <c r="T10" i="29"/>
  <c r="O12" i="29"/>
  <c r="AM12" i="29"/>
  <c r="AM31" i="29"/>
  <c r="AM27" i="29"/>
  <c r="AM33" i="29"/>
  <c r="AM32" i="29"/>
  <c r="AM30" i="29"/>
  <c r="AM29" i="29"/>
  <c r="AM28" i="29"/>
  <c r="AM26" i="29"/>
  <c r="AM25" i="29"/>
  <c r="AM24" i="29"/>
  <c r="AN25" i="29"/>
  <c r="AN24" i="29"/>
  <c r="AM23" i="29"/>
  <c r="AM22" i="29"/>
  <c r="AM21" i="29"/>
  <c r="AM20" i="29"/>
  <c r="AM19" i="29"/>
  <c r="AM18" i="29"/>
  <c r="AM17" i="29"/>
  <c r="AM16" i="29"/>
  <c r="AN16" i="29"/>
  <c r="AN15" i="29"/>
  <c r="AN14" i="29"/>
  <c r="AM15" i="29"/>
  <c r="AM14" i="29"/>
  <c r="AM13" i="29"/>
  <c r="AM11" i="29"/>
  <c r="AM10" i="29"/>
  <c r="AM9" i="29"/>
  <c r="AM8" i="29"/>
  <c r="L36" i="29"/>
  <c r="K36" i="29"/>
  <c r="L35" i="29"/>
  <c r="K35" i="29"/>
  <c r="L34" i="29"/>
  <c r="K34" i="29"/>
  <c r="L33" i="29"/>
  <c r="K33" i="29"/>
  <c r="L32" i="29"/>
  <c r="K32" i="29"/>
  <c r="L31" i="29"/>
  <c r="K31" i="29"/>
  <c r="L30" i="29"/>
  <c r="K30" i="29"/>
  <c r="L29" i="29"/>
  <c r="K29" i="29"/>
  <c r="L28" i="29"/>
  <c r="K28" i="29"/>
  <c r="N32" i="28"/>
  <c r="N31" i="28"/>
  <c r="N30" i="28"/>
  <c r="D179" i="26"/>
  <c r="D178" i="26"/>
  <c r="D177" i="26"/>
  <c r="D176" i="26"/>
  <c r="D175" i="26"/>
  <c r="D174" i="26"/>
  <c r="D173" i="26"/>
  <c r="D172" i="26"/>
  <c r="D171" i="26"/>
  <c r="D170" i="26"/>
  <c r="D169" i="26"/>
  <c r="D168" i="26"/>
  <c r="D167" i="26"/>
  <c r="D166" i="26"/>
  <c r="D165" i="26"/>
  <c r="D164"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9" i="26"/>
  <c r="D138" i="26"/>
  <c r="D137" i="26"/>
  <c r="D136" i="26"/>
  <c r="D135" i="26"/>
  <c r="D134" i="26"/>
  <c r="D133" i="26"/>
  <c r="D132" i="26"/>
  <c r="D131" i="26"/>
  <c r="D130" i="26"/>
  <c r="D129" i="26"/>
  <c r="D128" i="26"/>
  <c r="D127" i="26"/>
  <c r="D126" i="26"/>
  <c r="D125" i="26"/>
  <c r="D124" i="26"/>
  <c r="D123" i="26"/>
  <c r="D122" i="26"/>
  <c r="D121" i="26"/>
  <c r="D120" i="26"/>
  <c r="D119" i="26"/>
  <c r="D118" i="26"/>
  <c r="D117" i="26"/>
  <c r="D116" i="26"/>
  <c r="D115" i="26"/>
  <c r="D114" i="26"/>
  <c r="D113" i="26"/>
  <c r="D112" i="26"/>
  <c r="D111" i="26"/>
  <c r="D110" i="26"/>
  <c r="D109" i="26"/>
  <c r="D108" i="26"/>
  <c r="D107" i="26"/>
  <c r="D106" i="26"/>
  <c r="D105" i="26"/>
  <c r="D104" i="26"/>
  <c r="D103" i="26"/>
  <c r="D102" i="26"/>
  <c r="D64" i="26"/>
  <c r="D83" i="26"/>
  <c r="D79" i="26"/>
  <c r="D74" i="26"/>
  <c r="D69" i="26"/>
  <c r="D63" i="26"/>
  <c r="D62" i="26"/>
  <c r="D30" i="26"/>
  <c r="D27" i="26"/>
  <c r="D101" i="26"/>
  <c r="D100" i="26"/>
  <c r="D99" i="26"/>
  <c r="D98" i="26"/>
  <c r="D92" i="26"/>
  <c r="D89" i="26"/>
  <c r="D97" i="26"/>
  <c r="D96" i="26"/>
  <c r="D36" i="26"/>
  <c r="D88" i="26"/>
  <c r="D86" i="26"/>
  <c r="D82" i="26"/>
  <c r="D81" i="26"/>
  <c r="D78" i="26"/>
  <c r="D76" i="26"/>
  <c r="D73" i="26"/>
  <c r="D68" i="26"/>
  <c r="D66" i="26"/>
  <c r="D57" i="26"/>
  <c r="D46" i="26"/>
  <c r="D40" i="26"/>
  <c r="D34" i="26"/>
  <c r="D95" i="26"/>
  <c r="D94" i="26"/>
  <c r="D91" i="26"/>
  <c r="D41" i="26"/>
  <c r="D85" i="26"/>
  <c r="D35" i="26"/>
  <c r="D33" i="26"/>
  <c r="D77" i="26"/>
  <c r="D22" i="26"/>
  <c r="D28" i="26"/>
  <c r="D72" i="26"/>
  <c r="D71" i="26"/>
  <c r="D65" i="26"/>
  <c r="D17" i="26"/>
  <c r="D21" i="26"/>
  <c r="D56" i="26"/>
  <c r="D61" i="26"/>
  <c r="D14" i="26"/>
  <c r="D52" i="26"/>
  <c r="D13" i="26"/>
  <c r="D32" i="26"/>
  <c r="D9" i="26"/>
  <c r="D5" i="26"/>
  <c r="D93" i="26"/>
  <c r="D42" i="26"/>
  <c r="D90" i="26"/>
  <c r="D87" i="26"/>
  <c r="D12" i="26"/>
  <c r="D39" i="26"/>
  <c r="D84" i="26"/>
  <c r="D80" i="26"/>
  <c r="D10" i="26"/>
  <c r="D24" i="26"/>
  <c r="D75" i="26"/>
  <c r="D16" i="26"/>
  <c r="D70" i="26"/>
  <c r="D67" i="26"/>
  <c r="D23" i="26"/>
  <c r="D20" i="26"/>
  <c r="D18" i="26"/>
  <c r="D19" i="26"/>
  <c r="D60" i="26"/>
  <c r="D59" i="26"/>
  <c r="D58" i="26"/>
  <c r="D55" i="26"/>
  <c r="D54" i="26"/>
  <c r="D53" i="26"/>
  <c r="D51" i="26"/>
  <c r="D50" i="26"/>
  <c r="D49" i="26"/>
  <c r="D48" i="26"/>
  <c r="D47" i="26"/>
  <c r="D45" i="26"/>
  <c r="D44" i="26"/>
  <c r="D43" i="26"/>
  <c r="D11" i="26"/>
  <c r="D38" i="26"/>
  <c r="D37" i="26"/>
  <c r="D31" i="26"/>
  <c r="D29" i="26"/>
  <c r="D26" i="26"/>
  <c r="D25" i="26"/>
  <c r="D8" i="26"/>
  <c r="D7" i="26"/>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64" i="26"/>
  <c r="E83" i="26"/>
  <c r="E79" i="26"/>
  <c r="E74" i="26"/>
  <c r="E69" i="26"/>
  <c r="E63" i="26"/>
  <c r="E62" i="26"/>
  <c r="E30" i="26"/>
  <c r="E27" i="26"/>
  <c r="E101" i="26"/>
  <c r="E100" i="26"/>
  <c r="E99" i="26"/>
  <c r="E98" i="26"/>
  <c r="E92" i="26"/>
  <c r="E89" i="26"/>
  <c r="E97" i="26"/>
  <c r="E96" i="26"/>
  <c r="E36" i="26"/>
  <c r="E88" i="26"/>
  <c r="E86" i="26"/>
  <c r="E82" i="26"/>
  <c r="E81" i="26"/>
  <c r="E78" i="26"/>
  <c r="E76" i="26"/>
  <c r="E73" i="26"/>
  <c r="E68" i="26"/>
  <c r="E66" i="26"/>
  <c r="E57" i="26"/>
  <c r="E46" i="26"/>
  <c r="E40" i="26"/>
  <c r="E34" i="26"/>
  <c r="E95" i="26"/>
  <c r="E94" i="26"/>
  <c r="E91" i="26"/>
  <c r="E41" i="26"/>
  <c r="E85" i="26"/>
  <c r="E35" i="26"/>
  <c r="E33" i="26"/>
  <c r="E77" i="26"/>
  <c r="E22" i="26"/>
  <c r="E28" i="26"/>
  <c r="E72" i="26"/>
  <c r="E71" i="26"/>
  <c r="E65" i="26"/>
  <c r="E17" i="26"/>
  <c r="E21" i="26"/>
  <c r="E56" i="26"/>
  <c r="E61" i="26"/>
  <c r="E14" i="26"/>
  <c r="E52" i="26"/>
  <c r="E13" i="26"/>
  <c r="F179" i="26"/>
  <c r="F178" i="26"/>
  <c r="F177" i="26"/>
  <c r="F176" i="26"/>
  <c r="F175" i="26"/>
  <c r="F174" i="26"/>
  <c r="F173" i="26"/>
  <c r="F172" i="26"/>
  <c r="F171" i="26"/>
  <c r="F170" i="26"/>
  <c r="F169" i="26"/>
  <c r="F168" i="26"/>
  <c r="F167" i="26"/>
  <c r="F166" i="26"/>
  <c r="F165" i="26"/>
  <c r="F164" i="26"/>
  <c r="F163" i="26"/>
  <c r="F162" i="26"/>
  <c r="F161" i="26"/>
  <c r="F160" i="26"/>
  <c r="F159" i="26"/>
  <c r="F158" i="26"/>
  <c r="F157" i="26"/>
  <c r="F156" i="26"/>
  <c r="F155" i="26"/>
  <c r="F154" i="26"/>
  <c r="F153" i="26"/>
  <c r="F152" i="26"/>
  <c r="F151" i="26"/>
  <c r="F150" i="26"/>
  <c r="F149" i="26"/>
  <c r="F148" i="26"/>
  <c r="F147" i="26"/>
  <c r="F146" i="26"/>
  <c r="F145" i="26"/>
  <c r="F144" i="26"/>
  <c r="F143" i="26"/>
  <c r="F142" i="26"/>
  <c r="F141" i="26"/>
  <c r="F140" i="26"/>
  <c r="F139" i="26"/>
  <c r="F138" i="26"/>
  <c r="F137" i="26"/>
  <c r="F136" i="26"/>
  <c r="F135" i="26"/>
  <c r="F134" i="26"/>
  <c r="F133" i="26"/>
  <c r="F132" i="26"/>
  <c r="F131" i="26"/>
  <c r="F130" i="26"/>
  <c r="F129" i="26"/>
  <c r="F128" i="26"/>
  <c r="F127" i="26"/>
  <c r="F126" i="26"/>
  <c r="F125" i="26"/>
  <c r="F124" i="26"/>
  <c r="F123" i="26"/>
  <c r="F122" i="26"/>
  <c r="F121" i="26"/>
  <c r="F120" i="26"/>
  <c r="F119" i="26"/>
  <c r="F118" i="26"/>
  <c r="F117" i="26"/>
  <c r="F116" i="26"/>
  <c r="F115" i="26"/>
  <c r="F114" i="26"/>
  <c r="F113" i="26"/>
  <c r="F112" i="26"/>
  <c r="F111" i="26"/>
  <c r="F110" i="26"/>
  <c r="F109" i="26"/>
  <c r="F108" i="26"/>
  <c r="F107" i="26"/>
  <c r="F106" i="26"/>
  <c r="F105" i="26"/>
  <c r="F104" i="26"/>
  <c r="F103" i="26"/>
  <c r="F102" i="26"/>
  <c r="F64" i="26"/>
  <c r="F83" i="26"/>
  <c r="F79" i="26"/>
  <c r="F74" i="26"/>
  <c r="F69" i="26"/>
  <c r="F63" i="26"/>
  <c r="F62" i="26"/>
  <c r="F30" i="26"/>
  <c r="F27" i="26"/>
  <c r="F101" i="26"/>
  <c r="F100" i="26"/>
  <c r="F99" i="26"/>
  <c r="F98" i="26"/>
  <c r="F92" i="26"/>
  <c r="F89" i="26"/>
  <c r="F97" i="26"/>
  <c r="F96" i="26"/>
  <c r="F36" i="26"/>
  <c r="F88" i="26"/>
  <c r="F86" i="26"/>
  <c r="F82" i="26"/>
  <c r="F81" i="26"/>
  <c r="F78" i="26"/>
  <c r="F76" i="26"/>
  <c r="F73" i="26"/>
  <c r="F68" i="26"/>
  <c r="F66" i="26"/>
  <c r="F57" i="26"/>
  <c r="F46" i="26"/>
  <c r="F40" i="26"/>
  <c r="F34" i="26"/>
  <c r="F95" i="26"/>
  <c r="F94" i="26"/>
  <c r="F91" i="26"/>
  <c r="F41" i="26"/>
  <c r="F85" i="26"/>
  <c r="F35" i="26"/>
  <c r="F33" i="26"/>
  <c r="F77" i="26"/>
  <c r="F22" i="26"/>
  <c r="F28" i="26"/>
  <c r="F72" i="26"/>
  <c r="F71" i="26"/>
  <c r="F65" i="26"/>
  <c r="F17" i="26"/>
  <c r="F21" i="26"/>
  <c r="F56" i="26"/>
  <c r="F61" i="26"/>
  <c r="F14" i="26"/>
  <c r="F52" i="26"/>
  <c r="F13" i="26"/>
  <c r="F9" i="26"/>
  <c r="F5" i="26"/>
  <c r="F93" i="26"/>
  <c r="F42" i="26"/>
  <c r="F90" i="26"/>
  <c r="F87" i="26"/>
  <c r="F12" i="26"/>
  <c r="F39" i="26"/>
  <c r="F84" i="26"/>
  <c r="F80" i="26"/>
  <c r="F10" i="26"/>
  <c r="F24" i="26"/>
  <c r="F75" i="26"/>
  <c r="F16" i="26"/>
  <c r="F70" i="26"/>
  <c r="F67" i="26"/>
  <c r="F23" i="26"/>
  <c r="F20" i="26"/>
  <c r="F18" i="26"/>
  <c r="F19" i="26"/>
  <c r="F60" i="26"/>
  <c r="F59" i="26"/>
  <c r="F15" i="26"/>
  <c r="F58" i="26"/>
  <c r="F55" i="26"/>
  <c r="F54" i="26"/>
  <c r="F53" i="26"/>
  <c r="F51" i="26"/>
  <c r="F50" i="26"/>
  <c r="F49" i="26"/>
  <c r="F48" i="26"/>
  <c r="F47" i="26"/>
  <c r="F45" i="26"/>
  <c r="F44" i="26"/>
  <c r="F43" i="26"/>
  <c r="F11" i="26"/>
  <c r="F38" i="26"/>
  <c r="F37" i="26"/>
  <c r="F31" i="26"/>
  <c r="F29" i="26"/>
  <c r="F26" i="26"/>
  <c r="F25" i="26"/>
  <c r="F8" i="26"/>
  <c r="F32" i="26"/>
  <c r="F7" i="26"/>
  <c r="N55" i="28"/>
  <c r="N54" i="28"/>
  <c r="N53" i="28"/>
  <c r="N52" i="28"/>
  <c r="N51" i="28"/>
  <c r="N50" i="28"/>
  <c r="N49" i="28"/>
  <c r="N48" i="28"/>
  <c r="N47" i="28"/>
  <c r="N46" i="28"/>
  <c r="N45" i="28"/>
  <c r="N44" i="28"/>
  <c r="N43" i="28"/>
  <c r="N42" i="28"/>
  <c r="N41" i="28"/>
  <c r="N40" i="28"/>
  <c r="N39" i="28"/>
  <c r="N38" i="28"/>
  <c r="N37" i="28"/>
  <c r="N36" i="28"/>
  <c r="N35" i="28"/>
  <c r="N34" i="28"/>
  <c r="N33" i="28"/>
  <c r="N29" i="28"/>
  <c r="O48" i="28"/>
  <c r="O47" i="28"/>
  <c r="O41" i="28"/>
  <c r="O40" i="28"/>
  <c r="O39" i="28"/>
  <c r="O38" i="28"/>
  <c r="L15" i="28"/>
  <c r="L14" i="28"/>
  <c r="K23" i="28"/>
  <c r="K22" i="28"/>
  <c r="K21" i="28"/>
  <c r="K20" i="28"/>
  <c r="K19" i="28"/>
  <c r="K18" i="28"/>
  <c r="K17" i="28"/>
  <c r="K16" i="28"/>
  <c r="K15" i="28"/>
  <c r="K14" i="28"/>
  <c r="K13" i="28"/>
  <c r="K12" i="28"/>
  <c r="K11" i="28"/>
  <c r="K10" i="28"/>
  <c r="K9" i="28"/>
  <c r="K8" i="28"/>
  <c r="K7" i="28"/>
  <c r="K6" i="28"/>
  <c r="K5" i="28"/>
  <c r="K4" i="28"/>
  <c r="K3" i="28"/>
  <c r="E93" i="26"/>
  <c r="E42" i="26"/>
  <c r="E87" i="26"/>
  <c r="E90" i="26"/>
  <c r="E12" i="26"/>
  <c r="E39" i="26"/>
  <c r="E84" i="26"/>
  <c r="E80" i="26"/>
  <c r="E24" i="26"/>
  <c r="E10" i="26"/>
  <c r="E75" i="26"/>
  <c r="E16" i="26"/>
  <c r="E70" i="26"/>
  <c r="E67" i="26"/>
  <c r="E23" i="26"/>
  <c r="E20" i="26"/>
  <c r="E18" i="26"/>
  <c r="E60" i="26"/>
  <c r="E19" i="26"/>
  <c r="E59" i="26"/>
  <c r="E55" i="26"/>
  <c r="E32" i="26"/>
  <c r="E49" i="26"/>
  <c r="E45" i="26"/>
  <c r="E11" i="26"/>
  <c r="E9" i="26"/>
  <c r="E29" i="26"/>
  <c r="E5" i="26"/>
  <c r="E15" i="26"/>
  <c r="E58" i="26"/>
  <c r="E54" i="26"/>
  <c r="E53" i="26"/>
  <c r="E51" i="26"/>
  <c r="E50" i="26"/>
  <c r="E48" i="26"/>
  <c r="E47" i="26"/>
  <c r="E44" i="26"/>
  <c r="E43" i="26"/>
  <c r="E38" i="26"/>
  <c r="E37" i="26"/>
  <c r="E31" i="26"/>
  <c r="E7" i="26"/>
  <c r="E8" i="26"/>
  <c r="E26" i="26"/>
  <c r="E25" i="26"/>
  <c r="W23" i="27"/>
  <c r="W22" i="27"/>
  <c r="W14" i="27"/>
  <c r="W13" i="27"/>
  <c r="V30" i="27"/>
  <c r="V29" i="27"/>
  <c r="V28" i="27"/>
  <c r="V27" i="27"/>
  <c r="V26" i="27"/>
  <c r="V25" i="27"/>
  <c r="V24" i="27"/>
  <c r="V23" i="27"/>
  <c r="V22" i="27"/>
  <c r="V21" i="27"/>
  <c r="V20" i="27"/>
  <c r="V19" i="27"/>
  <c r="V18" i="27"/>
  <c r="V17" i="27"/>
  <c r="V16" i="27"/>
  <c r="V15" i="27"/>
  <c r="V14" i="27"/>
  <c r="V13" i="27"/>
  <c r="V12" i="27"/>
  <c r="V11" i="27"/>
  <c r="V10" i="27"/>
  <c r="V9" i="27"/>
  <c r="V8" i="27"/>
  <c r="V7" i="27"/>
  <c r="V6" i="27"/>
  <c r="V5" i="27"/>
  <c r="V4" i="27"/>
  <c r="W29" i="27"/>
  <c r="W28" i="27"/>
  <c r="T29" i="27"/>
  <c r="T28" i="27"/>
  <c r="T36" i="27"/>
  <c r="T35" i="27"/>
  <c r="T20" i="27"/>
  <c r="T19" i="27"/>
  <c r="T14" i="27"/>
  <c r="D15" i="26"/>
  <c r="J179" i="26"/>
  <c r="J178" i="26"/>
  <c r="J177" i="26"/>
  <c r="J176" i="26"/>
  <c r="J175" i="26"/>
  <c r="J174" i="26"/>
  <c r="J173" i="26"/>
  <c r="J172" i="26"/>
  <c r="J171" i="26"/>
  <c r="J170" i="26"/>
  <c r="J169" i="26"/>
  <c r="J168" i="26"/>
  <c r="J167" i="26"/>
  <c r="J166" i="26"/>
  <c r="J165" i="26"/>
  <c r="J164" i="26"/>
  <c r="J163" i="26"/>
  <c r="J162" i="26"/>
  <c r="J161" i="26"/>
  <c r="J160" i="26"/>
  <c r="J159" i="26"/>
  <c r="J158" i="26"/>
  <c r="J157" i="26"/>
  <c r="J156" i="26"/>
  <c r="J155" i="26"/>
  <c r="J154" i="26"/>
  <c r="J153" i="26"/>
  <c r="J152" i="26"/>
  <c r="J151" i="26"/>
  <c r="J150" i="26"/>
  <c r="J149" i="26"/>
  <c r="J148" i="26"/>
  <c r="J147" i="26"/>
  <c r="J146" i="26"/>
  <c r="J145" i="26"/>
  <c r="J144" i="26"/>
  <c r="J143" i="26"/>
  <c r="J142" i="26"/>
  <c r="J141" i="26"/>
  <c r="J140" i="26"/>
  <c r="J139" i="26"/>
  <c r="J138" i="26"/>
  <c r="J137" i="26"/>
  <c r="J136" i="26"/>
  <c r="J135" i="26"/>
  <c r="J134" i="26"/>
  <c r="J133" i="26"/>
  <c r="J132" i="26"/>
  <c r="J131" i="26"/>
  <c r="J130" i="26"/>
  <c r="J129" i="26"/>
  <c r="J128" i="26"/>
  <c r="J127" i="26"/>
  <c r="J126" i="26"/>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64" i="26"/>
  <c r="J83" i="26"/>
  <c r="J79" i="26"/>
  <c r="J74" i="26"/>
  <c r="J69" i="26"/>
  <c r="J63" i="26"/>
  <c r="J62" i="26"/>
  <c r="J30" i="26"/>
  <c r="J27" i="26"/>
  <c r="J101" i="26"/>
  <c r="J100" i="26"/>
  <c r="J99" i="26"/>
  <c r="J98" i="26"/>
  <c r="J92" i="26"/>
  <c r="J89" i="26"/>
  <c r="J97" i="26"/>
  <c r="J96" i="26"/>
  <c r="J36" i="26"/>
  <c r="J88" i="26"/>
  <c r="J86" i="26"/>
  <c r="J82" i="26"/>
  <c r="J81" i="26"/>
  <c r="J78" i="26"/>
  <c r="J76" i="26"/>
  <c r="J73" i="26"/>
  <c r="J68" i="26"/>
  <c r="J66" i="26"/>
  <c r="J57" i="26"/>
  <c r="J46" i="26"/>
  <c r="J40" i="26"/>
  <c r="J34" i="26"/>
  <c r="J95" i="26"/>
  <c r="J94" i="26"/>
  <c r="J91" i="26"/>
  <c r="J41" i="26"/>
  <c r="J85" i="26"/>
  <c r="J35" i="26"/>
  <c r="J33" i="26"/>
  <c r="J77" i="26"/>
  <c r="J22" i="26"/>
  <c r="J28" i="26"/>
  <c r="J72" i="26"/>
  <c r="J71" i="26"/>
  <c r="J65" i="26"/>
  <c r="J17" i="26"/>
  <c r="J21" i="26"/>
  <c r="J56" i="26"/>
  <c r="J61" i="26"/>
  <c r="J14" i="26"/>
  <c r="J52" i="26"/>
  <c r="J13" i="26"/>
  <c r="J93" i="26"/>
  <c r="J42" i="26"/>
  <c r="J87" i="26"/>
  <c r="J90" i="26"/>
  <c r="J12" i="26"/>
  <c r="J39" i="26"/>
  <c r="J84" i="26"/>
  <c r="J80" i="26"/>
  <c r="J24" i="26"/>
  <c r="J10" i="26"/>
  <c r="J75" i="26"/>
  <c r="J16" i="26"/>
  <c r="J70" i="26"/>
  <c r="J67" i="26"/>
  <c r="J23" i="26"/>
  <c r="J20" i="26"/>
  <c r="J18" i="26"/>
  <c r="J60" i="26"/>
  <c r="J19" i="26"/>
  <c r="J59" i="26"/>
  <c r="J55" i="26"/>
  <c r="J32" i="26"/>
  <c r="J49" i="26"/>
  <c r="J45" i="26"/>
  <c r="J11" i="26"/>
  <c r="J9" i="26"/>
  <c r="J29" i="26"/>
  <c r="J5" i="26"/>
  <c r="J15" i="26"/>
  <c r="J54" i="26"/>
  <c r="J51" i="26"/>
  <c r="J48" i="26"/>
  <c r="J44" i="26"/>
  <c r="J38" i="26"/>
  <c r="J31" i="26"/>
  <c r="J8" i="26"/>
  <c r="J26" i="26"/>
  <c r="J58" i="26"/>
  <c r="J53" i="26"/>
  <c r="J50" i="26"/>
  <c r="J47" i="26"/>
  <c r="J43" i="26"/>
  <c r="J37" i="26"/>
  <c r="J7" i="26"/>
  <c r="J25" i="26"/>
  <c r="S35" i="25"/>
  <c r="S26" i="25"/>
  <c r="S36" i="25"/>
  <c r="S27" i="25"/>
  <c r="S37" i="25"/>
  <c r="S28" i="25"/>
  <c r="S38" i="25"/>
  <c r="S29" i="25"/>
  <c r="S43" i="25"/>
  <c r="S42" i="25"/>
  <c r="S41" i="25"/>
  <c r="S40" i="25"/>
  <c r="S39" i="25"/>
  <c r="S34" i="25"/>
  <c r="S33" i="25"/>
  <c r="S32" i="25"/>
  <c r="S31" i="25"/>
  <c r="S30" i="25"/>
  <c r="O3" i="25"/>
  <c r="O4" i="25"/>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P14" i="25"/>
  <c r="P31" i="25"/>
  <c r="M37" i="25"/>
  <c r="F37" i="25"/>
  <c r="J37" i="25"/>
  <c r="L37" i="25"/>
  <c r="M36" i="25"/>
  <c r="F36" i="25"/>
  <c r="J36" i="25"/>
  <c r="L36" i="25"/>
  <c r="M35" i="25"/>
  <c r="F35" i="25"/>
  <c r="J35" i="25"/>
  <c r="L35" i="25"/>
  <c r="M34" i="25"/>
  <c r="F34" i="25"/>
  <c r="J34" i="25"/>
  <c r="L34" i="25"/>
  <c r="M33" i="25"/>
  <c r="F33" i="25"/>
  <c r="J33" i="25"/>
  <c r="L33" i="25"/>
  <c r="M32" i="25"/>
  <c r="F32" i="25"/>
  <c r="J32" i="25"/>
  <c r="L32" i="25"/>
  <c r="M31" i="25"/>
  <c r="F31" i="25"/>
  <c r="J31" i="25"/>
  <c r="L31" i="25"/>
  <c r="M30" i="25"/>
  <c r="F30" i="25"/>
  <c r="J30" i="25"/>
  <c r="L30" i="25"/>
  <c r="M29" i="25"/>
  <c r="F29" i="25"/>
  <c r="J29" i="25"/>
  <c r="L29" i="25"/>
  <c r="M28" i="25"/>
  <c r="F28" i="25"/>
  <c r="J28" i="25"/>
  <c r="L28" i="25"/>
  <c r="M27" i="25"/>
  <c r="F27" i="25"/>
  <c r="J27" i="25"/>
  <c r="L27" i="25"/>
  <c r="C179" i="26"/>
  <c r="K179" i="26"/>
  <c r="A179" i="26"/>
  <c r="C178" i="26"/>
  <c r="K178" i="26"/>
  <c r="A178" i="26"/>
  <c r="C177" i="26"/>
  <c r="K177" i="26"/>
  <c r="A177" i="26"/>
  <c r="C176" i="26"/>
  <c r="K176" i="26"/>
  <c r="A176" i="26"/>
  <c r="C175" i="26"/>
  <c r="K175" i="26"/>
  <c r="A175" i="26"/>
  <c r="C174" i="26"/>
  <c r="K174" i="26"/>
  <c r="A174" i="26"/>
  <c r="C173" i="26"/>
  <c r="K173" i="26"/>
  <c r="A173" i="26"/>
  <c r="C172" i="26"/>
  <c r="K172" i="26"/>
  <c r="A172" i="26"/>
  <c r="C171" i="26"/>
  <c r="K171" i="26"/>
  <c r="A171" i="26"/>
  <c r="C170" i="26"/>
  <c r="K170" i="26"/>
  <c r="A170" i="26"/>
  <c r="C169" i="26"/>
  <c r="K169" i="26"/>
  <c r="A169" i="26"/>
  <c r="C168" i="26"/>
  <c r="K168" i="26"/>
  <c r="A168" i="26"/>
  <c r="C167" i="26"/>
  <c r="K167" i="26"/>
  <c r="A167" i="26"/>
  <c r="C166" i="26"/>
  <c r="K166" i="26"/>
  <c r="A166" i="26"/>
  <c r="C165" i="26"/>
  <c r="K165" i="26"/>
  <c r="A165" i="26"/>
  <c r="C164" i="26"/>
  <c r="K164" i="26"/>
  <c r="A164" i="26"/>
  <c r="C163" i="26"/>
  <c r="K163" i="26"/>
  <c r="A163" i="26"/>
  <c r="C162" i="26"/>
  <c r="K162" i="26"/>
  <c r="A162" i="26"/>
  <c r="C161" i="26"/>
  <c r="K161" i="26"/>
  <c r="A161" i="26"/>
  <c r="C160" i="26"/>
  <c r="K160" i="26"/>
  <c r="A160" i="26"/>
  <c r="C159" i="26"/>
  <c r="K159" i="26"/>
  <c r="A159" i="26"/>
  <c r="C158" i="26"/>
  <c r="K158" i="26"/>
  <c r="A158" i="26"/>
  <c r="C157" i="26"/>
  <c r="K157" i="26"/>
  <c r="A157" i="26"/>
  <c r="C156" i="26"/>
  <c r="K156" i="26"/>
  <c r="A156" i="26"/>
  <c r="C155" i="26"/>
  <c r="K155" i="26"/>
  <c r="A155" i="26"/>
  <c r="C154" i="26"/>
  <c r="K154" i="26"/>
  <c r="A154" i="26"/>
  <c r="C153" i="26"/>
  <c r="K153" i="26"/>
  <c r="A153" i="26"/>
  <c r="C152" i="26"/>
  <c r="K152" i="26"/>
  <c r="A152" i="26"/>
  <c r="C151" i="26"/>
  <c r="K151" i="26"/>
  <c r="A151" i="26"/>
  <c r="C150" i="26"/>
  <c r="K150" i="26"/>
  <c r="A150" i="26"/>
  <c r="C149" i="26"/>
  <c r="K149" i="26"/>
  <c r="A149" i="26"/>
  <c r="C148" i="26"/>
  <c r="K148" i="26"/>
  <c r="A148" i="26"/>
  <c r="C147" i="26"/>
  <c r="K147" i="26"/>
  <c r="A147" i="26"/>
  <c r="C146" i="26"/>
  <c r="K146" i="26"/>
  <c r="A146" i="26"/>
  <c r="C145" i="26"/>
  <c r="K145" i="26"/>
  <c r="A145" i="26"/>
  <c r="C144" i="26"/>
  <c r="K144" i="26"/>
  <c r="A144" i="26"/>
  <c r="C143" i="26"/>
  <c r="K143" i="26"/>
  <c r="A143" i="26"/>
  <c r="C142" i="26"/>
  <c r="K142" i="26"/>
  <c r="A142" i="26"/>
  <c r="C141" i="26"/>
  <c r="K141" i="26"/>
  <c r="A141" i="26"/>
  <c r="C140" i="26"/>
  <c r="K140" i="26"/>
  <c r="A140" i="26"/>
  <c r="C139" i="26"/>
  <c r="K139" i="26"/>
  <c r="A139" i="26"/>
  <c r="C138" i="26"/>
  <c r="K138" i="26"/>
  <c r="A138" i="26"/>
  <c r="C137" i="26"/>
  <c r="K137" i="26"/>
  <c r="A137" i="26"/>
  <c r="C136" i="26"/>
  <c r="K136" i="26"/>
  <c r="A136" i="26"/>
  <c r="C135" i="26"/>
  <c r="K135" i="26"/>
  <c r="A135" i="26"/>
  <c r="C134" i="26"/>
  <c r="K134" i="26"/>
  <c r="A134" i="26"/>
  <c r="C133" i="26"/>
  <c r="K133" i="26"/>
  <c r="A133" i="26"/>
  <c r="C132" i="26"/>
  <c r="K132" i="26"/>
  <c r="A132" i="26"/>
  <c r="C131" i="26"/>
  <c r="K131" i="26"/>
  <c r="A131" i="26"/>
  <c r="C130" i="26"/>
  <c r="K130" i="26"/>
  <c r="A130" i="26"/>
  <c r="C129" i="26"/>
  <c r="K129" i="26"/>
  <c r="A129" i="26"/>
  <c r="C128" i="26"/>
  <c r="K128" i="26"/>
  <c r="A128" i="26"/>
  <c r="C127" i="26"/>
  <c r="K127" i="26"/>
  <c r="A127" i="26"/>
  <c r="C126" i="26"/>
  <c r="K126" i="26"/>
  <c r="A126" i="26"/>
  <c r="C125" i="26"/>
  <c r="K125" i="26"/>
  <c r="A125" i="26"/>
  <c r="C124" i="26"/>
  <c r="K124" i="26"/>
  <c r="A124" i="26"/>
  <c r="C123" i="26"/>
  <c r="K123" i="26"/>
  <c r="A123" i="26"/>
  <c r="C122" i="26"/>
  <c r="K122" i="26"/>
  <c r="A122" i="26"/>
  <c r="C121" i="26"/>
  <c r="K121" i="26"/>
  <c r="A121" i="26"/>
  <c r="C120" i="26"/>
  <c r="K120" i="26"/>
  <c r="A120" i="26"/>
  <c r="C119" i="26"/>
  <c r="K119" i="26"/>
  <c r="A119" i="26"/>
  <c r="C118" i="26"/>
  <c r="K118" i="26"/>
  <c r="A118" i="26"/>
  <c r="C117" i="26"/>
  <c r="K117" i="26"/>
  <c r="A117" i="26"/>
  <c r="C116" i="26"/>
  <c r="K116" i="26"/>
  <c r="A116" i="26"/>
  <c r="C115" i="26"/>
  <c r="K115" i="26"/>
  <c r="A115" i="26"/>
  <c r="C114" i="26"/>
  <c r="K114" i="26"/>
  <c r="A114" i="26"/>
  <c r="C113" i="26"/>
  <c r="K113" i="26"/>
  <c r="A113" i="26"/>
  <c r="C112" i="26"/>
  <c r="K112" i="26"/>
  <c r="A112" i="26"/>
  <c r="C111" i="26"/>
  <c r="K111" i="26"/>
  <c r="A111" i="26"/>
  <c r="C110" i="26"/>
  <c r="K110" i="26"/>
  <c r="A110" i="26"/>
  <c r="C109" i="26"/>
  <c r="K109" i="26"/>
  <c r="A109" i="26"/>
  <c r="C108" i="26"/>
  <c r="K108" i="26"/>
  <c r="A108" i="26"/>
  <c r="C107" i="26"/>
  <c r="K107" i="26"/>
  <c r="A107" i="26"/>
  <c r="C106" i="26"/>
  <c r="K106" i="26"/>
  <c r="A106" i="26"/>
  <c r="C105" i="26"/>
  <c r="K105" i="26"/>
  <c r="A105" i="26"/>
  <c r="C104" i="26"/>
  <c r="K104" i="26"/>
  <c r="A104" i="26"/>
  <c r="C103" i="26"/>
  <c r="K103" i="26"/>
  <c r="A103" i="26"/>
  <c r="C102" i="26"/>
  <c r="K102" i="26"/>
  <c r="A102" i="26"/>
  <c r="C64" i="26"/>
  <c r="K64" i="26"/>
  <c r="A64" i="26"/>
  <c r="C83" i="26"/>
  <c r="K83" i="26"/>
  <c r="A83" i="26"/>
  <c r="C79" i="26"/>
  <c r="K79" i="26"/>
  <c r="A79" i="26"/>
  <c r="C74" i="26"/>
  <c r="K74" i="26"/>
  <c r="A74" i="26"/>
  <c r="C69" i="26"/>
  <c r="K69" i="26"/>
  <c r="A69" i="26"/>
  <c r="C63" i="26"/>
  <c r="K63" i="26"/>
  <c r="A63" i="26"/>
  <c r="C62" i="26"/>
  <c r="K62" i="26"/>
  <c r="A62" i="26"/>
  <c r="C30" i="26"/>
  <c r="K30" i="26"/>
  <c r="A30" i="26"/>
  <c r="C27" i="26"/>
  <c r="K27" i="26"/>
  <c r="A27" i="26"/>
  <c r="C101" i="26"/>
  <c r="K101" i="26"/>
  <c r="A101" i="26"/>
  <c r="C100" i="26"/>
  <c r="K100" i="26"/>
  <c r="A100" i="26"/>
  <c r="C99" i="26"/>
  <c r="K99" i="26"/>
  <c r="A99" i="26"/>
  <c r="C98" i="26"/>
  <c r="K98" i="26"/>
  <c r="A98" i="26"/>
  <c r="C92" i="26"/>
  <c r="K92" i="26"/>
  <c r="A92" i="26"/>
  <c r="C89" i="26"/>
  <c r="K89" i="26"/>
  <c r="A89" i="26"/>
  <c r="C97" i="26"/>
  <c r="K97" i="26"/>
  <c r="A97" i="26"/>
  <c r="C96" i="26"/>
  <c r="K96" i="26"/>
  <c r="A96" i="26"/>
  <c r="C36" i="26"/>
  <c r="K36" i="26"/>
  <c r="A36" i="26"/>
  <c r="C88" i="26"/>
  <c r="K88" i="26"/>
  <c r="A88" i="26"/>
  <c r="C86" i="26"/>
  <c r="K86" i="26"/>
  <c r="A86" i="26"/>
  <c r="C82" i="26"/>
  <c r="K82" i="26"/>
  <c r="A82" i="26"/>
  <c r="C81" i="26"/>
  <c r="K81" i="26"/>
  <c r="A81" i="26"/>
  <c r="C78" i="26"/>
  <c r="K78" i="26"/>
  <c r="A78" i="26"/>
  <c r="C76" i="26"/>
  <c r="K76" i="26"/>
  <c r="A76" i="26"/>
  <c r="C73" i="26"/>
  <c r="K73" i="26"/>
  <c r="A73" i="26"/>
  <c r="C68" i="26"/>
  <c r="K68" i="26"/>
  <c r="A68" i="26"/>
  <c r="C66" i="26"/>
  <c r="K66" i="26"/>
  <c r="A66" i="26"/>
  <c r="C57" i="26"/>
  <c r="K57" i="26"/>
  <c r="A57" i="26"/>
  <c r="C46" i="26"/>
  <c r="K46" i="26"/>
  <c r="A46" i="26"/>
  <c r="C40" i="26"/>
  <c r="K40" i="26"/>
  <c r="A40" i="26"/>
  <c r="C34" i="26"/>
  <c r="K34" i="26"/>
  <c r="A34" i="26"/>
  <c r="C95" i="26"/>
  <c r="K95" i="26"/>
  <c r="A95" i="26"/>
  <c r="C94" i="26"/>
  <c r="K94" i="26"/>
  <c r="A94" i="26"/>
  <c r="C91" i="26"/>
  <c r="K91" i="26"/>
  <c r="A91" i="26"/>
  <c r="C41" i="26"/>
  <c r="K41" i="26"/>
  <c r="A41" i="26"/>
  <c r="C85" i="26"/>
  <c r="K85" i="26"/>
  <c r="A85" i="26"/>
  <c r="C35" i="26"/>
  <c r="K35" i="26"/>
  <c r="A35" i="26"/>
  <c r="C33" i="26"/>
  <c r="K33" i="26"/>
  <c r="A33" i="26"/>
  <c r="C77" i="26"/>
  <c r="K77" i="26"/>
  <c r="A77" i="26"/>
  <c r="C22" i="26"/>
  <c r="K22" i="26"/>
  <c r="A22" i="26"/>
  <c r="C28" i="26"/>
  <c r="K28" i="26"/>
  <c r="A28" i="26"/>
  <c r="C72" i="26"/>
  <c r="K72" i="26"/>
  <c r="A72" i="26"/>
  <c r="C71" i="26"/>
  <c r="K71" i="26"/>
  <c r="A71" i="26"/>
  <c r="C65" i="26"/>
  <c r="K65" i="26"/>
  <c r="A65" i="26"/>
  <c r="C17" i="26"/>
  <c r="K17" i="26"/>
  <c r="A17" i="26"/>
  <c r="C21" i="26"/>
  <c r="K21" i="26"/>
  <c r="A21" i="26"/>
  <c r="C56" i="26"/>
  <c r="K56" i="26"/>
  <c r="A56" i="26"/>
  <c r="C61" i="26"/>
  <c r="K61" i="26"/>
  <c r="A61" i="26"/>
  <c r="C14" i="26"/>
  <c r="K14" i="26"/>
  <c r="A14" i="26"/>
  <c r="C52" i="26"/>
  <c r="K52" i="26"/>
  <c r="A52" i="26"/>
  <c r="C13" i="26"/>
  <c r="K13" i="26"/>
  <c r="A13" i="26"/>
  <c r="C93" i="26"/>
  <c r="K93" i="26"/>
  <c r="A93" i="26"/>
  <c r="C42" i="26"/>
  <c r="K42" i="26"/>
  <c r="A42" i="26"/>
  <c r="C87" i="26"/>
  <c r="K87" i="26"/>
  <c r="A87" i="26"/>
  <c r="C90" i="26"/>
  <c r="K90" i="26"/>
  <c r="A90" i="26"/>
  <c r="C12" i="26"/>
  <c r="K12" i="26"/>
  <c r="A12" i="26"/>
  <c r="C39" i="26"/>
  <c r="K39" i="26"/>
  <c r="A39" i="26"/>
  <c r="C84" i="26"/>
  <c r="K84" i="26"/>
  <c r="A84" i="26"/>
  <c r="C80" i="26"/>
  <c r="K80" i="26"/>
  <c r="A80" i="26"/>
  <c r="C24" i="26"/>
  <c r="K24" i="26"/>
  <c r="A24" i="26"/>
  <c r="C10" i="26"/>
  <c r="K10" i="26"/>
  <c r="A10" i="26"/>
  <c r="C75" i="26"/>
  <c r="K75" i="26"/>
  <c r="A75" i="26"/>
  <c r="C16" i="26"/>
  <c r="K16" i="26"/>
  <c r="A16" i="26"/>
  <c r="C70" i="26"/>
  <c r="K70" i="26"/>
  <c r="A70" i="26"/>
  <c r="C67" i="26"/>
  <c r="K67" i="26"/>
  <c r="A67" i="26"/>
  <c r="C23" i="26"/>
  <c r="K23" i="26"/>
  <c r="A23" i="26"/>
  <c r="C20" i="26"/>
  <c r="K20" i="26"/>
  <c r="A20" i="26"/>
  <c r="C18" i="26"/>
  <c r="K18" i="26"/>
  <c r="A18" i="26"/>
  <c r="C60" i="26"/>
  <c r="K60" i="26"/>
  <c r="A60" i="26"/>
  <c r="C19" i="26"/>
  <c r="K19" i="26"/>
  <c r="A19" i="26"/>
  <c r="C59" i="26"/>
  <c r="K59" i="26"/>
  <c r="A59" i="26"/>
  <c r="C55" i="26"/>
  <c r="K55" i="26"/>
  <c r="A55" i="26"/>
  <c r="C32" i="26"/>
  <c r="K32" i="26"/>
  <c r="A32" i="26"/>
  <c r="C49" i="26"/>
  <c r="K49" i="26"/>
  <c r="A49" i="26"/>
  <c r="C45" i="26"/>
  <c r="K45" i="26"/>
  <c r="A45" i="26"/>
  <c r="C11" i="26"/>
  <c r="K11" i="26"/>
  <c r="A11" i="26"/>
  <c r="C9" i="26"/>
  <c r="K9" i="26"/>
  <c r="A9" i="26"/>
  <c r="C29" i="26"/>
  <c r="K29" i="26"/>
  <c r="A29" i="26"/>
  <c r="C5" i="26"/>
  <c r="K5" i="26"/>
  <c r="A5" i="26"/>
  <c r="C15" i="26"/>
  <c r="K15" i="26"/>
  <c r="A15" i="26"/>
  <c r="C54" i="26"/>
  <c r="K54" i="26"/>
  <c r="A54" i="26"/>
  <c r="C51" i="26"/>
  <c r="K51" i="26"/>
  <c r="A51" i="26"/>
  <c r="C48" i="26"/>
  <c r="K48" i="26"/>
  <c r="A48" i="26"/>
  <c r="C44" i="26"/>
  <c r="K44" i="26"/>
  <c r="A44" i="26"/>
  <c r="C38" i="26"/>
  <c r="K38" i="26"/>
  <c r="A38" i="26"/>
  <c r="C31" i="26"/>
  <c r="K31" i="26"/>
  <c r="A31" i="26"/>
  <c r="C8" i="26"/>
  <c r="K8" i="26"/>
  <c r="A8" i="26"/>
  <c r="C26" i="26"/>
  <c r="K26" i="26"/>
  <c r="A26" i="26"/>
  <c r="C58" i="26"/>
  <c r="K58" i="26"/>
  <c r="A58" i="26"/>
  <c r="C53" i="26"/>
  <c r="K53" i="26"/>
  <c r="A53" i="26"/>
  <c r="C50" i="26"/>
  <c r="K50" i="26"/>
  <c r="A50" i="26"/>
  <c r="C47" i="26"/>
  <c r="K47" i="26"/>
  <c r="A47" i="26"/>
  <c r="C43" i="26"/>
  <c r="K43" i="26"/>
  <c r="A43" i="26"/>
  <c r="C37" i="26"/>
  <c r="K37" i="26"/>
  <c r="A37" i="26"/>
  <c r="C7" i="26"/>
  <c r="K7" i="26"/>
  <c r="A7" i="26"/>
  <c r="C6" i="26"/>
  <c r="K6" i="26"/>
  <c r="A6" i="26"/>
  <c r="C25" i="26"/>
  <c r="K25" i="26"/>
  <c r="A25" i="26"/>
  <c r="AA28" i="24"/>
  <c r="AA27" i="24"/>
  <c r="Z22" i="24"/>
  <c r="Z31" i="11"/>
  <c r="Z39" i="24"/>
  <c r="C168" i="1"/>
  <c r="Z45" i="24"/>
  <c r="Z44" i="24"/>
  <c r="Z43" i="24"/>
  <c r="Z42" i="24"/>
  <c r="Z41" i="24"/>
  <c r="Z40" i="24"/>
  <c r="Z46" i="24"/>
  <c r="Z38" i="24"/>
  <c r="Z37" i="24"/>
  <c r="Z36" i="24"/>
  <c r="Z35" i="24"/>
  <c r="AA36" i="24"/>
  <c r="AA35" i="24"/>
  <c r="Z34" i="24"/>
  <c r="Z33" i="24"/>
  <c r="Z32" i="24"/>
  <c r="Z31" i="24"/>
  <c r="Z30" i="24"/>
  <c r="Z29" i="24"/>
  <c r="Z28" i="24"/>
  <c r="Z27" i="24"/>
  <c r="Z26" i="24"/>
  <c r="Z25" i="24"/>
  <c r="Z24" i="24"/>
  <c r="Z23" i="24"/>
  <c r="Z21" i="24"/>
  <c r="Z20" i="24"/>
  <c r="Z19" i="24"/>
  <c r="AA20" i="24"/>
  <c r="AA19" i="24"/>
  <c r="Z18" i="24"/>
  <c r="Z17" i="24"/>
  <c r="Z16" i="24"/>
  <c r="Z15" i="24"/>
  <c r="AA14" i="24"/>
  <c r="AA12" i="24"/>
  <c r="AA11" i="24"/>
  <c r="Z14" i="24"/>
  <c r="Z13" i="24"/>
  <c r="Z12" i="24"/>
  <c r="Z11" i="24"/>
  <c r="Z10" i="24"/>
  <c r="Z9" i="24"/>
  <c r="Z8" i="24"/>
  <c r="Z7" i="24"/>
  <c r="Z6" i="24"/>
  <c r="Z5" i="24"/>
  <c r="Z4" i="24"/>
  <c r="Z3" i="24"/>
  <c r="U33" i="23"/>
  <c r="U15" i="23"/>
  <c r="U14" i="23"/>
  <c r="V25" i="23"/>
  <c r="V24" i="23"/>
  <c r="V15" i="23"/>
  <c r="V14" i="23"/>
  <c r="U32" i="23"/>
  <c r="U31" i="23"/>
  <c r="U30" i="23"/>
  <c r="U29" i="23"/>
  <c r="U28" i="23"/>
  <c r="U27" i="23"/>
  <c r="U26" i="23"/>
  <c r="U25" i="23"/>
  <c r="U24" i="23"/>
  <c r="U23" i="23"/>
  <c r="U22" i="23"/>
  <c r="U21" i="23"/>
  <c r="U20" i="23"/>
  <c r="U19" i="23"/>
  <c r="U18" i="23"/>
  <c r="U17" i="23"/>
  <c r="U16" i="23"/>
  <c r="U13" i="23"/>
  <c r="U12" i="23"/>
  <c r="U11" i="23"/>
  <c r="U10" i="23"/>
  <c r="U9" i="23"/>
  <c r="U8" i="23"/>
  <c r="U7" i="23"/>
  <c r="U6" i="23"/>
  <c r="U4" i="23"/>
  <c r="J51" i="23"/>
  <c r="J52" i="23"/>
  <c r="J50" i="23"/>
  <c r="J49" i="23"/>
  <c r="J48" i="23"/>
  <c r="J47" i="23"/>
  <c r="J46" i="23"/>
  <c r="J45" i="23"/>
  <c r="J44" i="23"/>
  <c r="J43" i="23"/>
  <c r="J42" i="23"/>
  <c r="A42" i="23"/>
  <c r="A43" i="23"/>
  <c r="A44" i="23"/>
  <c r="A45" i="23"/>
  <c r="A46" i="23"/>
  <c r="A47" i="23"/>
  <c r="A48" i="23"/>
  <c r="A49" i="23"/>
  <c r="A50" i="23"/>
  <c r="A51" i="23"/>
  <c r="A52" i="23"/>
  <c r="L52" i="23"/>
  <c r="I52" i="23"/>
  <c r="H52" i="23"/>
  <c r="G52" i="23"/>
  <c r="F52" i="23"/>
  <c r="E52" i="23"/>
  <c r="D52" i="23"/>
  <c r="C52" i="23"/>
  <c r="B52" i="23"/>
  <c r="L51" i="23"/>
  <c r="I51" i="23"/>
  <c r="H51" i="23"/>
  <c r="G51" i="23"/>
  <c r="F51" i="23"/>
  <c r="E51" i="23"/>
  <c r="D51" i="23"/>
  <c r="C51" i="23"/>
  <c r="B51" i="23"/>
  <c r="L50" i="23"/>
  <c r="I50" i="23"/>
  <c r="H50" i="23"/>
  <c r="G50" i="23"/>
  <c r="F50" i="23"/>
  <c r="E50" i="23"/>
  <c r="D50" i="23"/>
  <c r="C50" i="23"/>
  <c r="B50" i="23"/>
  <c r="L49" i="23"/>
  <c r="I49" i="23"/>
  <c r="H49" i="23"/>
  <c r="G49" i="23"/>
  <c r="F49" i="23"/>
  <c r="E49" i="23"/>
  <c r="D49" i="23"/>
  <c r="C49" i="23"/>
  <c r="B49" i="23"/>
  <c r="L48" i="23"/>
  <c r="I48" i="23"/>
  <c r="H48" i="23"/>
  <c r="G48" i="23"/>
  <c r="F48" i="23"/>
  <c r="E48" i="23"/>
  <c r="D48" i="23"/>
  <c r="C48" i="23"/>
  <c r="B48" i="23"/>
  <c r="L47" i="23"/>
  <c r="I47" i="23"/>
  <c r="H47" i="23"/>
  <c r="G47" i="23"/>
  <c r="F47" i="23"/>
  <c r="E47" i="23"/>
  <c r="D47" i="23"/>
  <c r="C47" i="23"/>
  <c r="B47" i="23"/>
  <c r="L46" i="23"/>
  <c r="I46" i="23"/>
  <c r="H46" i="23"/>
  <c r="G46" i="23"/>
  <c r="F46" i="23"/>
  <c r="E46" i="23"/>
  <c r="D46" i="23"/>
  <c r="C46" i="23"/>
  <c r="B46" i="23"/>
  <c r="L45" i="23"/>
  <c r="I45" i="23"/>
  <c r="H45" i="23"/>
  <c r="G45" i="23"/>
  <c r="F45" i="23"/>
  <c r="E45" i="23"/>
  <c r="D45" i="23"/>
  <c r="C45" i="23"/>
  <c r="B45" i="23"/>
  <c r="L44" i="23"/>
  <c r="I44" i="23"/>
  <c r="H44" i="23"/>
  <c r="G44" i="23"/>
  <c r="F44" i="23"/>
  <c r="E44" i="23"/>
  <c r="D44" i="23"/>
  <c r="C44" i="23"/>
  <c r="B44" i="23"/>
  <c r="L43" i="23"/>
  <c r="I43" i="23"/>
  <c r="H43" i="23"/>
  <c r="G43" i="23"/>
  <c r="F43" i="23"/>
  <c r="E43" i="23"/>
  <c r="D43" i="23"/>
  <c r="C43" i="23"/>
  <c r="B43" i="23"/>
  <c r="L42" i="23"/>
  <c r="I42" i="23"/>
  <c r="H42" i="23"/>
  <c r="G42" i="23"/>
  <c r="F42" i="23"/>
  <c r="E42" i="23"/>
  <c r="D42" i="23"/>
  <c r="C42" i="23"/>
  <c r="B42" i="23"/>
  <c r="R28" i="22"/>
  <c r="V5" i="22"/>
  <c r="R27" i="22"/>
  <c r="V6" i="22"/>
  <c r="R23" i="22"/>
  <c r="V7" i="22"/>
  <c r="R19" i="22"/>
  <c r="V8" i="22"/>
  <c r="R5" i="22"/>
  <c r="V9" i="22"/>
  <c r="R15" i="22"/>
  <c r="V10" i="22"/>
  <c r="R8" i="22"/>
  <c r="V11" i="22"/>
  <c r="R12" i="22"/>
  <c r="V12" i="22"/>
  <c r="V13" i="22"/>
  <c r="V14" i="22"/>
  <c r="V15" i="22"/>
  <c r="V16" i="22"/>
  <c r="V17" i="22"/>
  <c r="V18" i="22"/>
  <c r="V19" i="22"/>
  <c r="V20" i="22"/>
  <c r="V21" i="22"/>
  <c r="V22" i="22"/>
  <c r="V23" i="22"/>
  <c r="V24" i="22"/>
  <c r="V25" i="22"/>
  <c r="V26" i="22"/>
  <c r="V27" i="22"/>
  <c r="V28" i="22"/>
  <c r="C135" i="1"/>
  <c r="C132" i="1"/>
  <c r="C127" i="1"/>
  <c r="C122" i="1"/>
  <c r="C117" i="1"/>
  <c r="C111" i="1"/>
  <c r="C109" i="1"/>
  <c r="C106" i="1"/>
  <c r="C102" i="1"/>
  <c r="C98" i="1"/>
  <c r="C93" i="1"/>
  <c r="C91" i="1"/>
  <c r="C87" i="1"/>
  <c r="C85" i="1"/>
  <c r="C79" i="1"/>
  <c r="C77" i="1"/>
  <c r="C75" i="1"/>
  <c r="C62" i="1"/>
  <c r="C182" i="1"/>
  <c r="C181" i="1"/>
  <c r="C180" i="1"/>
  <c r="C179" i="1"/>
  <c r="C178" i="1"/>
  <c r="C177" i="1"/>
  <c r="C176" i="1"/>
  <c r="C139" i="1"/>
  <c r="C134" i="1"/>
  <c r="C131" i="1"/>
  <c r="C126" i="1"/>
  <c r="C121" i="1"/>
  <c r="C116" i="1"/>
  <c r="C110" i="1"/>
  <c r="C108" i="1"/>
  <c r="C105" i="1"/>
  <c r="C101" i="1"/>
  <c r="C97" i="1"/>
  <c r="C94" i="1"/>
  <c r="C92" i="1"/>
  <c r="C90" i="1"/>
  <c r="C86" i="1"/>
  <c r="C84" i="1"/>
  <c r="C82" i="1"/>
  <c r="C78" i="1"/>
  <c r="C76" i="1"/>
  <c r="C74" i="1"/>
  <c r="C61" i="1"/>
  <c r="C175" i="1"/>
  <c r="C174" i="1"/>
  <c r="C173" i="1"/>
  <c r="C107" i="1"/>
  <c r="C120" i="1"/>
  <c r="C115" i="1"/>
  <c r="C172" i="1"/>
  <c r="C171" i="1"/>
  <c r="C73" i="1"/>
  <c r="C68" i="1"/>
  <c r="C170" i="1"/>
  <c r="C169" i="1"/>
  <c r="C29" i="1"/>
  <c r="C64" i="1"/>
  <c r="C138" i="1"/>
  <c r="C52" i="1"/>
  <c r="C81" i="1"/>
  <c r="C96" i="1"/>
  <c r="C89" i="1"/>
  <c r="C33" i="1"/>
  <c r="C28" i="1"/>
  <c r="C95" i="1"/>
  <c r="C47" i="1"/>
  <c r="C39" i="1"/>
  <c r="C167" i="1"/>
  <c r="C166" i="1"/>
  <c r="C165" i="1"/>
  <c r="C164" i="1"/>
  <c r="C163" i="1"/>
  <c r="C162" i="1"/>
  <c r="C161" i="1"/>
  <c r="C160" i="1"/>
  <c r="C159" i="1"/>
  <c r="C158" i="1"/>
  <c r="C157" i="1"/>
  <c r="C156" i="1"/>
  <c r="C130" i="1"/>
  <c r="C129" i="1"/>
  <c r="C123" i="1"/>
  <c r="C100" i="1"/>
  <c r="C51" i="1"/>
  <c r="C48" i="1"/>
  <c r="C32" i="1"/>
  <c r="C50" i="1"/>
  <c r="C155" i="1"/>
  <c r="C154" i="1"/>
  <c r="C133" i="1"/>
  <c r="C125" i="1"/>
  <c r="C114" i="1"/>
  <c r="C119" i="1"/>
  <c r="C113" i="1"/>
  <c r="C104" i="1"/>
  <c r="C99" i="1"/>
  <c r="C42" i="1"/>
  <c r="C88" i="1"/>
  <c r="C83" i="1"/>
  <c r="C80" i="1"/>
  <c r="C153" i="1"/>
  <c r="C152" i="1"/>
  <c r="C151" i="1"/>
  <c r="C72" i="1"/>
  <c r="C150" i="1"/>
  <c r="C137" i="1"/>
  <c r="C124" i="1"/>
  <c r="C55" i="1"/>
  <c r="C103" i="1"/>
  <c r="C38" i="1"/>
  <c r="C45" i="1"/>
  <c r="C149" i="1"/>
  <c r="C148" i="1"/>
  <c r="C147" i="1"/>
  <c r="C71" i="1"/>
  <c r="C146" i="1"/>
  <c r="C136" i="1"/>
  <c r="C112" i="1"/>
  <c r="C145" i="1"/>
  <c r="C60" i="1"/>
  <c r="C144" i="1"/>
  <c r="C143" i="1"/>
  <c r="C70" i="1"/>
  <c r="C67" i="1"/>
  <c r="C66" i="1"/>
  <c r="C142" i="1"/>
  <c r="C69" i="1"/>
  <c r="C58" i="1"/>
  <c r="C65" i="1"/>
  <c r="C63" i="1"/>
  <c r="C53" i="1"/>
  <c r="C57" i="1"/>
  <c r="C31" i="1"/>
  <c r="C141" i="1"/>
  <c r="C46" i="1"/>
  <c r="C40" i="1"/>
  <c r="C30" i="1"/>
  <c r="C54" i="1"/>
  <c r="C35" i="1"/>
  <c r="C49" i="1"/>
  <c r="C27" i="1"/>
  <c r="C41" i="1"/>
  <c r="C21" i="1"/>
  <c r="C36" i="1"/>
  <c r="C59" i="1"/>
  <c r="C16" i="1"/>
  <c r="C26" i="1"/>
  <c r="C56" i="1"/>
  <c r="C14" i="1"/>
  <c r="C37" i="1"/>
  <c r="C25" i="1"/>
  <c r="C43" i="1"/>
  <c r="C17" i="1"/>
  <c r="C9" i="1"/>
  <c r="C24" i="1"/>
  <c r="C13" i="1"/>
  <c r="C19" i="1"/>
  <c r="C34" i="1"/>
  <c r="C15" i="1"/>
  <c r="C11" i="1"/>
  <c r="C22" i="1"/>
  <c r="C20" i="1"/>
  <c r="C12" i="1"/>
  <c r="C18" i="1"/>
  <c r="C44" i="1"/>
  <c r="C23" i="1"/>
  <c r="C8" i="1"/>
  <c r="C6" i="1"/>
  <c r="C7" i="1"/>
  <c r="C10" i="1"/>
  <c r="C5" i="1"/>
  <c r="W36" i="22"/>
  <c r="W37" i="22"/>
  <c r="W38" i="22"/>
  <c r="W39" i="22"/>
  <c r="W40" i="22"/>
  <c r="W41" i="22"/>
  <c r="W42" i="22"/>
  <c r="W43" i="22"/>
  <c r="W44" i="22"/>
  <c r="W45" i="22"/>
  <c r="W46" i="22"/>
  <c r="W47" i="22"/>
  <c r="W48" i="22"/>
  <c r="W49" i="22"/>
  <c r="W50" i="22"/>
  <c r="W51" i="22"/>
  <c r="W52" i="22"/>
  <c r="W53" i="22"/>
  <c r="W54" i="22"/>
  <c r="W55" i="22"/>
  <c r="W56" i="22"/>
  <c r="W57" i="22"/>
  <c r="W58" i="22"/>
  <c r="V58" i="22"/>
  <c r="U36" i="22"/>
  <c r="U37" i="22"/>
  <c r="U38" i="22"/>
  <c r="U39" i="22"/>
  <c r="U40" i="22"/>
  <c r="U41" i="22"/>
  <c r="U42" i="22"/>
  <c r="U43" i="22"/>
  <c r="U44" i="22"/>
  <c r="U45" i="22"/>
  <c r="U46" i="22"/>
  <c r="U47" i="22"/>
  <c r="U48" i="22"/>
  <c r="U49" i="22"/>
  <c r="U50" i="22"/>
  <c r="U51" i="22"/>
  <c r="U52" i="22"/>
  <c r="U53" i="22"/>
  <c r="U54" i="22"/>
  <c r="U55" i="22"/>
  <c r="U56" i="22"/>
  <c r="U57" i="22"/>
  <c r="U58" i="22"/>
  <c r="V57" i="22"/>
  <c r="V56" i="22"/>
  <c r="V55" i="22"/>
  <c r="V54" i="22"/>
  <c r="V53" i="22"/>
  <c r="V52" i="22"/>
  <c r="V51" i="22"/>
  <c r="V50" i="22"/>
  <c r="V49" i="22"/>
  <c r="V48" i="22"/>
  <c r="V47" i="22"/>
  <c r="V46" i="22"/>
  <c r="V45" i="22"/>
  <c r="V44" i="22"/>
  <c r="V43" i="22"/>
  <c r="V42" i="22"/>
  <c r="V41" i="22"/>
  <c r="V40" i="22"/>
  <c r="V39" i="22"/>
  <c r="V38" i="22"/>
  <c r="V37" i="22"/>
  <c r="V36" i="22"/>
  <c r="V35" i="22"/>
  <c r="V34" i="22"/>
  <c r="V33" i="22"/>
  <c r="V32" i="22"/>
  <c r="V31" i="22"/>
  <c r="V30" i="22"/>
  <c r="V29" i="22"/>
  <c r="L6" i="22"/>
  <c r="L7" i="22"/>
  <c r="L8" i="22"/>
  <c r="L9" i="22"/>
  <c r="L10" i="22"/>
  <c r="L11" i="22"/>
  <c r="R22" i="22"/>
  <c r="R20" i="22"/>
  <c r="L12" i="22"/>
  <c r="R14" i="22"/>
  <c r="R11" i="22"/>
  <c r="R9" i="22"/>
  <c r="R6" i="22"/>
  <c r="Q5" i="22"/>
  <c r="O28" i="22"/>
  <c r="N28" i="22"/>
  <c r="L13" i="22"/>
  <c r="L14" i="22"/>
  <c r="L15" i="22"/>
  <c r="L16" i="22"/>
  <c r="L17" i="22"/>
  <c r="L18" i="22"/>
  <c r="L19" i="22"/>
  <c r="L20" i="22"/>
  <c r="L21" i="22"/>
  <c r="L22" i="22"/>
  <c r="L23" i="22"/>
  <c r="L24" i="22"/>
  <c r="L25" i="22"/>
  <c r="L26" i="22"/>
  <c r="L27" i="22"/>
  <c r="L28" i="22"/>
  <c r="O21" i="22"/>
  <c r="N21" i="22"/>
  <c r="O15" i="22"/>
  <c r="N15" i="22"/>
  <c r="O19" i="22"/>
  <c r="N19" i="22"/>
  <c r="O10" i="22"/>
  <c r="N10" i="22"/>
  <c r="O6" i="22"/>
  <c r="N6" i="22"/>
  <c r="O23" i="22"/>
  <c r="N23" i="22"/>
  <c r="O22" i="22"/>
  <c r="N22" i="22"/>
  <c r="O25" i="22"/>
  <c r="N25" i="22"/>
  <c r="O13" i="22"/>
  <c r="N13" i="22"/>
  <c r="O11" i="22"/>
  <c r="N11" i="22"/>
  <c r="G6" i="22"/>
  <c r="G7" i="22"/>
  <c r="G8" i="22"/>
  <c r="G9" i="22"/>
  <c r="G10" i="22"/>
  <c r="G15" i="22"/>
  <c r="G16" i="22"/>
  <c r="G17" i="22"/>
  <c r="G18" i="22"/>
  <c r="G19" i="22"/>
  <c r="G24" i="22"/>
  <c r="G25" i="22"/>
  <c r="G26" i="22"/>
  <c r="G27" i="22"/>
  <c r="G28" i="22"/>
  <c r="G33" i="22"/>
  <c r="G34" i="22"/>
  <c r="G35" i="22"/>
  <c r="G36" i="22"/>
  <c r="G37" i="22"/>
  <c r="A6" i="22"/>
  <c r="A7" i="22"/>
  <c r="A8" i="22"/>
  <c r="A9" i="22"/>
  <c r="A10" i="22"/>
  <c r="A11" i="22"/>
  <c r="A12" i="22"/>
  <c r="A13" i="22"/>
  <c r="A14" i="22"/>
  <c r="A15" i="22"/>
  <c r="A16" i="22"/>
  <c r="A20"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W25" i="22"/>
  <c r="W26" i="22"/>
  <c r="W27" i="22"/>
  <c r="W28" i="22"/>
  <c r="W29" i="22"/>
  <c r="W30" i="22"/>
  <c r="W31" i="22"/>
  <c r="W32" i="22"/>
  <c r="W33" i="22"/>
  <c r="W34" i="22"/>
  <c r="W35" i="22"/>
  <c r="U6" i="22"/>
  <c r="U7" i="22"/>
  <c r="U8" i="22"/>
  <c r="U9" i="22"/>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O8" i="22"/>
  <c r="N8" i="22"/>
  <c r="O27" i="22"/>
  <c r="N27" i="22"/>
  <c r="O20" i="22"/>
  <c r="N20" i="22"/>
  <c r="O14" i="22"/>
  <c r="N14" i="22"/>
  <c r="O17" i="22"/>
  <c r="N17" i="22"/>
  <c r="O7" i="22"/>
  <c r="N7" i="22"/>
  <c r="O12" i="22"/>
  <c r="N12" i="22"/>
  <c r="O24" i="22"/>
  <c r="N24" i="22"/>
  <c r="O26" i="22"/>
  <c r="N26" i="22"/>
  <c r="O18" i="22"/>
  <c r="N18" i="22"/>
  <c r="O16" i="22"/>
  <c r="N16" i="22"/>
  <c r="O9" i="22"/>
  <c r="N9" i="22"/>
  <c r="O5" i="22"/>
  <c r="N5" i="22"/>
  <c r="T15" i="11"/>
  <c r="T10" i="11"/>
  <c r="T9" i="11"/>
  <c r="T5" i="11"/>
  <c r="AB32" i="11"/>
  <c r="AB33" i="11"/>
  <c r="AB34" i="11"/>
  <c r="AB35" i="11"/>
  <c r="AB31" i="11"/>
  <c r="AB26" i="11"/>
  <c r="AB27" i="11"/>
  <c r="AB28" i="11"/>
  <c r="AB29" i="11"/>
  <c r="AB30" i="11"/>
  <c r="AB25" i="11"/>
  <c r="AA35" i="11"/>
  <c r="AA34" i="11"/>
  <c r="AA33" i="11"/>
  <c r="AA32" i="11"/>
  <c r="AA31" i="11"/>
  <c r="AA30" i="11"/>
  <c r="AA29" i="11"/>
  <c r="AA28" i="11"/>
  <c r="AA27" i="11"/>
  <c r="AA26" i="11"/>
  <c r="AA25" i="11"/>
  <c r="AA24" i="11"/>
  <c r="AA23" i="11"/>
  <c r="AA22" i="11"/>
  <c r="AA21" i="11"/>
  <c r="AA20" i="11"/>
  <c r="AA19" i="11"/>
  <c r="AA18" i="11"/>
  <c r="AA17" i="11"/>
  <c r="AA16" i="11"/>
  <c r="AA15" i="11"/>
  <c r="AA14" i="11"/>
  <c r="AA13" i="11"/>
  <c r="AA12" i="11"/>
  <c r="AA11" i="11"/>
  <c r="AA10" i="11"/>
  <c r="AA9" i="11"/>
  <c r="AA8" i="11"/>
  <c r="AA7" i="11"/>
  <c r="AA6" i="11"/>
  <c r="AA5" i="11"/>
  <c r="Z35" i="11"/>
  <c r="Z34" i="11"/>
  <c r="Z33" i="11"/>
  <c r="Z32" i="11"/>
  <c r="Z30" i="11"/>
  <c r="Z29" i="11"/>
  <c r="Z28" i="11"/>
  <c r="Z27" i="11"/>
  <c r="Z26" i="11"/>
  <c r="Z25" i="11"/>
  <c r="Z24" i="11"/>
  <c r="Z23" i="11"/>
  <c r="Z22" i="11"/>
  <c r="Y25" i="11"/>
  <c r="Y26" i="11"/>
  <c r="Y27" i="11"/>
  <c r="Y28" i="11"/>
  <c r="Y29" i="11"/>
  <c r="Y30" i="11"/>
  <c r="Y31" i="11"/>
  <c r="Y32" i="11"/>
  <c r="Y33" i="11"/>
  <c r="Y34" i="11"/>
  <c r="Y35" i="11"/>
  <c r="Y7" i="11"/>
  <c r="Y8" i="11"/>
  <c r="Y9" i="11"/>
  <c r="Y10" i="11"/>
  <c r="Y11" i="11"/>
  <c r="Y12" i="11"/>
  <c r="Y13" i="11"/>
  <c r="Y14" i="11"/>
  <c r="Y15" i="11"/>
  <c r="Y16" i="11"/>
  <c r="Y17" i="11"/>
  <c r="Y18" i="11"/>
  <c r="Y19" i="11"/>
  <c r="Y20" i="11"/>
  <c r="Y21" i="11"/>
  <c r="Y22" i="11"/>
  <c r="Y23" i="11"/>
  <c r="Y24" i="11"/>
  <c r="Z21" i="11"/>
  <c r="Y6" i="11"/>
  <c r="Z20" i="11"/>
  <c r="Z19" i="11"/>
  <c r="Z18" i="11"/>
  <c r="Z17" i="11"/>
  <c r="Z16" i="11"/>
  <c r="Z15" i="11"/>
  <c r="Z14" i="11"/>
  <c r="Z13" i="11"/>
  <c r="Z12" i="11"/>
  <c r="Z11" i="11"/>
  <c r="Z10" i="11"/>
  <c r="Z9" i="11"/>
  <c r="Z8" i="11"/>
  <c r="Z7" i="11"/>
  <c r="Z6" i="11"/>
  <c r="Z5" i="11"/>
  <c r="V16" i="11"/>
  <c r="V15" i="11"/>
  <c r="U16" i="11"/>
  <c r="U15" i="11"/>
  <c r="V6" i="11"/>
  <c r="V5" i="11"/>
  <c r="V10" i="11"/>
  <c r="V9" i="11"/>
  <c r="U10" i="11"/>
  <c r="U9" i="11"/>
  <c r="U6" i="11"/>
  <c r="U5" i="11"/>
  <c r="R17" i="11"/>
  <c r="Q17" i="11"/>
  <c r="R18" i="11"/>
  <c r="Q18" i="11"/>
  <c r="R14" i="11"/>
  <c r="Q14" i="11"/>
  <c r="R16" i="11"/>
  <c r="Q16" i="11"/>
  <c r="R15" i="11"/>
  <c r="Q15" i="11"/>
  <c r="N9" i="11"/>
  <c r="N10" i="11"/>
  <c r="N11" i="11"/>
  <c r="N12" i="11"/>
  <c r="N13" i="11"/>
  <c r="N14" i="11"/>
  <c r="N15" i="11"/>
  <c r="N16" i="11"/>
  <c r="N17" i="11"/>
  <c r="N18" i="11"/>
  <c r="N19" i="11"/>
  <c r="N20" i="11"/>
  <c r="R13" i="11"/>
  <c r="Q13" i="11"/>
  <c r="R20" i="11"/>
  <c r="Q20" i="11"/>
  <c r="R8" i="11"/>
  <c r="Q8" i="11"/>
  <c r="R9" i="11"/>
  <c r="Q9" i="11"/>
  <c r="R10" i="11"/>
  <c r="Q10" i="11"/>
  <c r="R7" i="11"/>
  <c r="Q7" i="11"/>
  <c r="R19" i="11"/>
  <c r="Q19" i="11"/>
  <c r="R12" i="11"/>
  <c r="Q12" i="11"/>
  <c r="R5" i="11"/>
  <c r="Q5" i="11"/>
  <c r="R11" i="11"/>
  <c r="Q11" i="11"/>
  <c r="R6" i="11"/>
  <c r="Q6" i="11"/>
  <c r="N6" i="11"/>
  <c r="N7" i="11"/>
  <c r="N8" i="11"/>
  <c r="H27" i="11"/>
  <c r="H28" i="11"/>
  <c r="H29" i="11"/>
  <c r="H20" i="11"/>
  <c r="H21" i="11"/>
  <c r="H22" i="11"/>
  <c r="H13" i="11"/>
  <c r="H14" i="11"/>
  <c r="H15" i="11"/>
  <c r="H6" i="11"/>
  <c r="H7" i="11"/>
  <c r="H8" i="11"/>
  <c r="A6" i="11"/>
  <c r="A7" i="11"/>
  <c r="A8" i="11"/>
  <c r="A15" i="11"/>
  <c r="A16" i="11"/>
  <c r="A17" i="11"/>
  <c r="A18" i="11"/>
  <c r="A19" i="11"/>
  <c r="A20" i="11"/>
  <c r="A21" i="11"/>
  <c r="A22" i="11"/>
  <c r="A23" i="11"/>
  <c r="A24" i="11"/>
  <c r="A25" i="11"/>
  <c r="A26" i="11"/>
  <c r="A27" i="11"/>
  <c r="A28" i="11"/>
  <c r="A29" i="11"/>
  <c r="A30" i="11"/>
  <c r="A31" i="11"/>
  <c r="A32" i="11"/>
  <c r="A33" i="11"/>
  <c r="A34" i="11"/>
  <c r="A35" i="11"/>
  <c r="P135" i="1"/>
  <c r="P132" i="1"/>
  <c r="P127" i="1"/>
  <c r="P122" i="1"/>
  <c r="P117" i="1"/>
  <c r="P111" i="1"/>
  <c r="P109" i="1"/>
  <c r="P106" i="1"/>
  <c r="P102" i="1"/>
  <c r="P98" i="1"/>
  <c r="P93" i="1"/>
  <c r="P91" i="1"/>
  <c r="P87" i="1"/>
  <c r="P85" i="1"/>
  <c r="P79" i="1"/>
  <c r="P77" i="1"/>
  <c r="P75" i="1"/>
  <c r="P62" i="1"/>
  <c r="P182" i="1"/>
  <c r="P181" i="1"/>
  <c r="P180" i="1"/>
  <c r="P179" i="1"/>
  <c r="P178" i="1"/>
  <c r="P177" i="1"/>
  <c r="P176" i="1"/>
  <c r="P139" i="1"/>
  <c r="P134" i="1"/>
  <c r="P131" i="1"/>
  <c r="P126" i="1"/>
  <c r="P121" i="1"/>
  <c r="P116" i="1"/>
  <c r="P110" i="1"/>
  <c r="P108" i="1"/>
  <c r="P105" i="1"/>
  <c r="P101" i="1"/>
  <c r="P97" i="1"/>
  <c r="P94" i="1"/>
  <c r="P92" i="1"/>
  <c r="P90" i="1"/>
  <c r="P86" i="1"/>
  <c r="P84" i="1"/>
  <c r="P82" i="1"/>
  <c r="P78" i="1"/>
  <c r="P76" i="1"/>
  <c r="P74" i="1"/>
  <c r="P61" i="1"/>
  <c r="P175" i="1"/>
  <c r="P174" i="1"/>
  <c r="P173" i="1"/>
  <c r="P107" i="1"/>
  <c r="P120" i="1"/>
  <c r="P115" i="1"/>
  <c r="P172" i="1"/>
  <c r="P171" i="1"/>
  <c r="P73" i="1"/>
  <c r="P68" i="1"/>
  <c r="P170" i="1"/>
  <c r="P169" i="1"/>
  <c r="P29" i="1"/>
  <c r="P64" i="1"/>
  <c r="P138" i="1"/>
  <c r="P52" i="1"/>
  <c r="P81" i="1"/>
  <c r="P96" i="1"/>
  <c r="P89" i="1"/>
  <c r="P33" i="1"/>
  <c r="P28" i="1"/>
  <c r="P95" i="1"/>
  <c r="P47" i="1"/>
  <c r="P39" i="1"/>
  <c r="P167" i="1"/>
  <c r="P166" i="1"/>
  <c r="P165" i="1"/>
  <c r="P164" i="1"/>
  <c r="P163" i="1"/>
  <c r="P162" i="1"/>
  <c r="P161" i="1"/>
  <c r="P160" i="1"/>
  <c r="P159" i="1"/>
  <c r="P158" i="1"/>
  <c r="P168" i="1"/>
  <c r="P157" i="1"/>
  <c r="P156" i="1"/>
  <c r="P130" i="1"/>
  <c r="P129" i="1"/>
  <c r="P123" i="1"/>
  <c r="P100" i="1"/>
  <c r="P51" i="1"/>
  <c r="P48" i="1"/>
  <c r="P32" i="1"/>
  <c r="P50" i="1"/>
  <c r="P155" i="1"/>
  <c r="P154" i="1"/>
  <c r="P133" i="1"/>
  <c r="P125" i="1"/>
  <c r="P114" i="1"/>
  <c r="P119" i="1"/>
  <c r="P113" i="1"/>
  <c r="P104" i="1"/>
  <c r="P99" i="1"/>
  <c r="P42" i="1"/>
  <c r="P88" i="1"/>
  <c r="P83" i="1"/>
  <c r="P80" i="1"/>
  <c r="P153" i="1"/>
  <c r="P152" i="1"/>
  <c r="P151" i="1"/>
  <c r="P72" i="1"/>
  <c r="P150" i="1"/>
  <c r="P137" i="1"/>
  <c r="P124" i="1"/>
  <c r="P55" i="1"/>
  <c r="P103" i="1"/>
  <c r="P38" i="1"/>
  <c r="P45" i="1"/>
  <c r="P149" i="1"/>
  <c r="P148" i="1"/>
  <c r="P147" i="1"/>
  <c r="P71" i="1"/>
  <c r="P146" i="1"/>
  <c r="P136" i="1"/>
  <c r="P112" i="1"/>
  <c r="P145" i="1"/>
  <c r="P60" i="1"/>
  <c r="P144" i="1"/>
  <c r="P143" i="1"/>
  <c r="P70" i="1"/>
  <c r="P67" i="1"/>
  <c r="P66" i="1"/>
  <c r="P142" i="1"/>
  <c r="P69" i="1"/>
  <c r="P58" i="1"/>
  <c r="P65" i="1"/>
  <c r="P63" i="1"/>
  <c r="P53" i="1"/>
  <c r="P57" i="1"/>
  <c r="P31" i="1"/>
  <c r="P141" i="1"/>
  <c r="P46" i="1"/>
  <c r="P40" i="1"/>
  <c r="P30" i="1"/>
  <c r="P54" i="1"/>
  <c r="P35" i="1"/>
  <c r="P49" i="1"/>
  <c r="P27" i="1"/>
  <c r="P41" i="1"/>
  <c r="P21" i="1"/>
  <c r="P36" i="1"/>
  <c r="P59" i="1"/>
  <c r="P16" i="1"/>
  <c r="P26" i="1"/>
  <c r="P56" i="1"/>
  <c r="P14" i="1"/>
  <c r="P37" i="1"/>
  <c r="P25" i="1"/>
  <c r="P43" i="1"/>
  <c r="P17" i="1"/>
  <c r="P9" i="1"/>
  <c r="P24" i="1"/>
  <c r="P13" i="1"/>
  <c r="P19" i="1"/>
  <c r="P34" i="1"/>
  <c r="P15" i="1"/>
  <c r="P11" i="1"/>
  <c r="P22" i="1"/>
  <c r="P5" i="1"/>
  <c r="P10" i="1"/>
  <c r="P7" i="1"/>
  <c r="P6" i="1"/>
  <c r="P8" i="1"/>
  <c r="P23" i="1"/>
  <c r="P44" i="1"/>
  <c r="P18" i="1"/>
  <c r="P12" i="1"/>
  <c r="P20" i="1"/>
</calcChain>
</file>

<file path=xl/comments1.xml><?xml version="1.0" encoding="utf-8"?>
<comments xmlns="http://schemas.openxmlformats.org/spreadsheetml/2006/main">
  <authors>
    <author>Nathan Walsh</author>
  </authors>
  <commentList>
    <comment ref="F9" authorId="0">
      <text>
        <r>
          <rPr>
            <sz val="9"/>
            <color indexed="81"/>
            <rFont val="Calibri"/>
            <family val="2"/>
          </rPr>
          <t>Minor scoring discrepancies caused the 2nd round placement to differ from the ranking for these teams</t>
        </r>
      </text>
    </comment>
    <comment ref="K13" authorId="0">
      <text>
        <r>
          <rPr>
            <sz val="9"/>
            <color indexed="81"/>
            <rFont val="Calibri"/>
            <family val="2"/>
          </rPr>
          <t>H2H points were tied 4-4, H2H 20s were won 11-10</t>
        </r>
      </text>
    </comment>
  </commentList>
</comments>
</file>

<file path=xl/comments2.xml><?xml version="1.0" encoding="utf-8"?>
<comments xmlns="http://schemas.openxmlformats.org/spreadsheetml/2006/main">
  <authors>
    <author>Nathan Walsh</author>
  </authors>
  <commentList>
    <comment ref="E17" authorId="0">
      <text>
        <r>
          <rPr>
            <sz val="9"/>
            <color indexed="81"/>
            <rFont val="Calibri"/>
            <family val="2"/>
          </rPr>
          <t>Minor scoring discrepancies caused the 2nd round placement to differ from the ranking for these teams</t>
        </r>
      </text>
    </comment>
    <comment ref="I27" authorId="0">
      <text>
        <r>
          <rPr>
            <sz val="9"/>
            <color indexed="81"/>
            <rFont val="Calibri"/>
            <family val="2"/>
          </rPr>
          <t xml:space="preserve">The players tied 4-4 in points, Jason won the 20s tiebreak in 4-3.
</t>
        </r>
      </text>
    </comment>
  </commentList>
</comments>
</file>

<file path=xl/sharedStrings.xml><?xml version="1.0" encoding="utf-8"?>
<sst xmlns="http://schemas.openxmlformats.org/spreadsheetml/2006/main" count="2194" uniqueCount="543">
  <si>
    <t>Points</t>
  </si>
  <si>
    <t>20s</t>
  </si>
  <si>
    <t>Ray Beierling</t>
  </si>
  <si>
    <t>Fred Slater</t>
  </si>
  <si>
    <t>Nathan Walsh</t>
  </si>
  <si>
    <t>Jason Beierling</t>
  </si>
  <si>
    <t>Justin Slater</t>
  </si>
  <si>
    <t>Eric Miltenburg</t>
  </si>
  <si>
    <t>Clare Kuepfer</t>
  </si>
  <si>
    <t>Rank</t>
  </si>
  <si>
    <t>Events</t>
  </si>
  <si>
    <t>London</t>
  </si>
  <si>
    <t>Owen Sound</t>
  </si>
  <si>
    <t>Name</t>
  </si>
  <si>
    <t>Avg</t>
  </si>
  <si>
    <t>NCA Points</t>
  </si>
  <si>
    <t>Roy Campbell</t>
  </si>
  <si>
    <t xml:space="preserve"> (best 4 events go towards each player's overall NCA Tour total)</t>
  </si>
  <si>
    <t>(S) = Singles</t>
  </si>
  <si>
    <t>(D) = Doubles</t>
  </si>
  <si>
    <t>Belleville</t>
  </si>
  <si>
    <t>Dale Henry</t>
  </si>
  <si>
    <t>Robert Bonnett</t>
  </si>
  <si>
    <t>Rex Johnston</t>
  </si>
  <si>
    <t>(S)</t>
  </si>
  <si>
    <t>(D)</t>
  </si>
  <si>
    <t>ODCC</t>
  </si>
  <si>
    <t>Cathy Kuepfer</t>
  </si>
  <si>
    <t>Score</t>
  </si>
  <si>
    <t>20's</t>
  </si>
  <si>
    <t>Peter Carter</t>
  </si>
  <si>
    <t>Brian Henry</t>
  </si>
  <si>
    <t>Jo-Ann Carter</t>
  </si>
  <si>
    <t>Roger Vaillancourt</t>
  </si>
  <si>
    <t>Connor Reinman</t>
  </si>
  <si>
    <t>Jeremy Tracey</t>
  </si>
  <si>
    <t>Andrew Hutchinson</t>
  </si>
  <si>
    <t>Nolan Tracey</t>
  </si>
  <si>
    <t>Reid Tracey</t>
  </si>
  <si>
    <t>Raymond Kappes</t>
  </si>
  <si>
    <t>Kevin Bechtel</t>
  </si>
  <si>
    <t>David Younker</t>
  </si>
  <si>
    <t>Ron Langill</t>
  </si>
  <si>
    <t>Janet Waite</t>
  </si>
  <si>
    <t>Kevin Ranney</t>
  </si>
  <si>
    <t>Steffan Hiller-Ranney</t>
  </si>
  <si>
    <t>Darren Carr</t>
  </si>
  <si>
    <t>Mark Gallas</t>
  </si>
  <si>
    <t>Kathi Fisher</t>
  </si>
  <si>
    <t>Daryl MacDonald</t>
  </si>
  <si>
    <t>Jeff McKeen</t>
  </si>
  <si>
    <t>Ted Fuller</t>
  </si>
  <si>
    <t>Mark Boot</t>
  </si>
  <si>
    <t>Robin Piotto</t>
  </si>
  <si>
    <t>Gina Schick</t>
  </si>
  <si>
    <t>NCA Tour Points Model</t>
  </si>
  <si>
    <t>Finish</t>
  </si>
  <si>
    <r>
      <t>1</t>
    </r>
    <r>
      <rPr>
        <vertAlign val="superscript"/>
        <sz val="20"/>
        <rFont val="Arial"/>
        <family val="2"/>
      </rPr>
      <t>st</t>
    </r>
  </si>
  <si>
    <r>
      <t>14</t>
    </r>
    <r>
      <rPr>
        <vertAlign val="superscript"/>
        <sz val="20"/>
        <rFont val="Arial"/>
        <family val="2"/>
      </rPr>
      <t>th</t>
    </r>
  </si>
  <si>
    <r>
      <t>18</t>
    </r>
    <r>
      <rPr>
        <vertAlign val="superscript"/>
        <sz val="20"/>
        <rFont val="Arial"/>
        <family val="2"/>
      </rPr>
      <t>th</t>
    </r>
  </si>
  <si>
    <r>
      <t>2</t>
    </r>
    <r>
      <rPr>
        <vertAlign val="superscript"/>
        <sz val="20"/>
        <rFont val="Arial"/>
        <family val="2"/>
      </rPr>
      <t>nd</t>
    </r>
  </si>
  <si>
    <r>
      <t>15</t>
    </r>
    <r>
      <rPr>
        <vertAlign val="superscript"/>
        <sz val="20"/>
        <rFont val="Arial"/>
        <family val="2"/>
      </rPr>
      <t>th</t>
    </r>
  </si>
  <si>
    <r>
      <t>19</t>
    </r>
    <r>
      <rPr>
        <vertAlign val="superscript"/>
        <sz val="20"/>
        <rFont val="Arial"/>
        <family val="2"/>
      </rPr>
      <t>th</t>
    </r>
  </si>
  <si>
    <r>
      <t>3</t>
    </r>
    <r>
      <rPr>
        <vertAlign val="superscript"/>
        <sz val="20"/>
        <rFont val="Arial"/>
        <family val="2"/>
      </rPr>
      <t>rd</t>
    </r>
  </si>
  <si>
    <r>
      <t>16</t>
    </r>
    <r>
      <rPr>
        <vertAlign val="superscript"/>
        <sz val="20"/>
        <rFont val="Arial"/>
        <family val="2"/>
      </rPr>
      <t>th</t>
    </r>
  </si>
  <si>
    <r>
      <t>20</t>
    </r>
    <r>
      <rPr>
        <vertAlign val="superscript"/>
        <sz val="20"/>
        <rFont val="Arial"/>
        <family val="2"/>
      </rPr>
      <t>th</t>
    </r>
  </si>
  <si>
    <r>
      <t>4</t>
    </r>
    <r>
      <rPr>
        <vertAlign val="superscript"/>
        <sz val="20"/>
        <rFont val="Arial"/>
        <family val="2"/>
      </rPr>
      <t>th</t>
    </r>
  </si>
  <si>
    <r>
      <t>17</t>
    </r>
    <r>
      <rPr>
        <vertAlign val="superscript"/>
        <sz val="20"/>
        <rFont val="Arial"/>
        <family val="2"/>
      </rPr>
      <t>th</t>
    </r>
  </si>
  <si>
    <r>
      <t>21</t>
    </r>
    <r>
      <rPr>
        <vertAlign val="superscript"/>
        <sz val="20"/>
        <rFont val="Arial"/>
        <family val="2"/>
      </rPr>
      <t>st</t>
    </r>
  </si>
  <si>
    <r>
      <t>5</t>
    </r>
    <r>
      <rPr>
        <vertAlign val="superscript"/>
        <sz val="20"/>
        <rFont val="Arial"/>
        <family val="2"/>
      </rPr>
      <t>th</t>
    </r>
  </si>
  <si>
    <r>
      <t>22</t>
    </r>
    <r>
      <rPr>
        <vertAlign val="superscript"/>
        <sz val="20"/>
        <rFont val="Arial"/>
        <family val="2"/>
      </rPr>
      <t>nd</t>
    </r>
  </si>
  <si>
    <r>
      <t>6</t>
    </r>
    <r>
      <rPr>
        <vertAlign val="superscript"/>
        <sz val="20"/>
        <rFont val="Arial"/>
        <family val="2"/>
      </rPr>
      <t>th</t>
    </r>
  </si>
  <si>
    <r>
      <t>23</t>
    </r>
    <r>
      <rPr>
        <vertAlign val="superscript"/>
        <sz val="20"/>
        <rFont val="Arial"/>
        <family val="2"/>
      </rPr>
      <t>rd</t>
    </r>
  </si>
  <si>
    <r>
      <t>7</t>
    </r>
    <r>
      <rPr>
        <vertAlign val="superscript"/>
        <sz val="20"/>
        <rFont val="Arial"/>
        <family val="2"/>
      </rPr>
      <t>th</t>
    </r>
  </si>
  <si>
    <r>
      <t>24</t>
    </r>
    <r>
      <rPr>
        <vertAlign val="superscript"/>
        <sz val="20"/>
        <rFont val="Arial"/>
        <family val="2"/>
      </rPr>
      <t>th</t>
    </r>
  </si>
  <si>
    <r>
      <t>8</t>
    </r>
    <r>
      <rPr>
        <vertAlign val="superscript"/>
        <sz val="20"/>
        <rFont val="Arial"/>
        <family val="2"/>
      </rPr>
      <t>th</t>
    </r>
  </si>
  <si>
    <r>
      <t>25</t>
    </r>
    <r>
      <rPr>
        <vertAlign val="superscript"/>
        <sz val="20"/>
        <rFont val="Arial"/>
        <family val="2"/>
      </rPr>
      <t>th</t>
    </r>
  </si>
  <si>
    <r>
      <t>9</t>
    </r>
    <r>
      <rPr>
        <vertAlign val="superscript"/>
        <sz val="20"/>
        <rFont val="Arial"/>
        <family val="2"/>
      </rPr>
      <t>th</t>
    </r>
  </si>
  <si>
    <r>
      <t>10</t>
    </r>
    <r>
      <rPr>
        <vertAlign val="superscript"/>
        <sz val="20"/>
        <rFont val="Arial"/>
        <family val="2"/>
      </rPr>
      <t>th</t>
    </r>
  </si>
  <si>
    <r>
      <t>11</t>
    </r>
    <r>
      <rPr>
        <vertAlign val="superscript"/>
        <sz val="20"/>
        <rFont val="Arial"/>
        <family val="2"/>
      </rPr>
      <t>th</t>
    </r>
  </si>
  <si>
    <r>
      <t>12</t>
    </r>
    <r>
      <rPr>
        <vertAlign val="superscript"/>
        <sz val="20"/>
        <rFont val="Arial"/>
        <family val="2"/>
      </rPr>
      <t>th</t>
    </r>
  </si>
  <si>
    <r>
      <t>13</t>
    </r>
    <r>
      <rPr>
        <vertAlign val="superscript"/>
        <sz val="20"/>
        <rFont val="Arial"/>
        <family val="2"/>
      </rPr>
      <t>th</t>
    </r>
  </si>
  <si>
    <r>
      <t>&gt;25</t>
    </r>
    <r>
      <rPr>
        <vertAlign val="superscript"/>
        <sz val="20"/>
        <rFont val="Arial"/>
        <family val="2"/>
      </rPr>
      <t>th</t>
    </r>
  </si>
  <si>
    <t>All Events - Singles &amp; Doubles</t>
  </si>
  <si>
    <t>NCA Tour Tiebreak Procedure</t>
  </si>
  <si>
    <t>Any ties between players, with the same total points of their top 4 scores, will be broken with the following procedure:</t>
  </si>
  <si>
    <t>a) Most Tournament Victories within their top 4 scores</t>
  </si>
  <si>
    <t>b) Most 2nd Place finishes within their top 4 scores</t>
  </si>
  <si>
    <t>c) Most 3rd Place finishes within their top 4 scores</t>
  </si>
  <si>
    <t>d) Most 4th Place finishes within their top 4 scores</t>
  </si>
  <si>
    <t>e) . . . etc.</t>
  </si>
  <si>
    <t>If players are still tied (i.e. have the exact same number of 1st, 2nd, 3rd, 4th, etc finishes in their top 4 scores)</t>
  </si>
  <si>
    <t>then the higher ranking will be given to the player who finishes higher at the NCA Finale.</t>
  </si>
  <si>
    <t>A player not attending the NCA Finale will be said to have finished lower than their counterpart at the tournament.</t>
  </si>
  <si>
    <t>Note on the Recreational division:</t>
  </si>
  <si>
    <t>While the NCA does not restrict players from entering either competitive or recreational divisions, previous winners of the NCA Recreational Tour title are not eligible to win the NCA Rec Tour title on a second occasion.</t>
  </si>
  <si>
    <t>NCA Players Championship Doubles</t>
  </si>
  <si>
    <t>Partner #1</t>
  </si>
  <si>
    <t>Partner #2</t>
  </si>
  <si>
    <t>2nd Round Placement</t>
  </si>
  <si>
    <t>A1</t>
  </si>
  <si>
    <t>B1</t>
  </si>
  <si>
    <t>Brian Armstrong</t>
  </si>
  <si>
    <t>Josh Carrafiello</t>
  </si>
  <si>
    <t>C1</t>
  </si>
  <si>
    <t>Simon Dowrick</t>
  </si>
  <si>
    <t>D1</t>
  </si>
  <si>
    <t>D2</t>
  </si>
  <si>
    <t>C2</t>
  </si>
  <si>
    <t>Tom Johnston</t>
  </si>
  <si>
    <t>B2</t>
  </si>
  <si>
    <t>A2</t>
  </si>
  <si>
    <t>A3</t>
  </si>
  <si>
    <t>B3</t>
  </si>
  <si>
    <t>C3</t>
  </si>
  <si>
    <t>D3</t>
  </si>
  <si>
    <t>D4</t>
  </si>
  <si>
    <t>C4</t>
  </si>
  <si>
    <t>B4</t>
  </si>
  <si>
    <t>A4</t>
  </si>
  <si>
    <t>Robert Nicol</t>
  </si>
  <si>
    <t>Dan Hepburn</t>
  </si>
  <si>
    <t>Darcy Poitras</t>
  </si>
  <si>
    <t>Voeun Vann</t>
  </si>
  <si>
    <t>Vuth Vann</t>
  </si>
  <si>
    <t>Mike Beaton</t>
  </si>
  <si>
    <t>Dave Ortibus</t>
  </si>
  <si>
    <t>Andrew Fuller</t>
  </si>
  <si>
    <t>Liz Weatherall</t>
  </si>
  <si>
    <t>Erwin Printup</t>
  </si>
  <si>
    <t>Liam Walmsley</t>
  </si>
  <si>
    <t>Shane Marston</t>
  </si>
  <si>
    <t>Bryan Mullins</t>
  </si>
  <si>
    <t>Vincent Sandir</t>
  </si>
  <si>
    <t>Robin Baille</t>
  </si>
  <si>
    <t>Joshua Bechtel</t>
  </si>
  <si>
    <t>Nolan Bechtel</t>
  </si>
  <si>
    <t>Anthony Anemi</t>
  </si>
  <si>
    <t>Riley Brown</t>
  </si>
  <si>
    <t>Drake Lees</t>
  </si>
  <si>
    <t>John Allan</t>
  </si>
  <si>
    <t>Brandon Desoussa</t>
  </si>
  <si>
    <t>Preliminary Round - 8 Games</t>
  </si>
  <si>
    <t>Round of 24 - Pool A</t>
  </si>
  <si>
    <t>Round of 24 - Pool B</t>
  </si>
  <si>
    <t>Round of 24 - Pool C</t>
  </si>
  <si>
    <t>Round of 24 - Pool D</t>
  </si>
  <si>
    <t>Pool Winners Advance to Semifinals</t>
  </si>
  <si>
    <t>Semifinals - First to 7</t>
  </si>
  <si>
    <t>Finals - First to 9</t>
  </si>
  <si>
    <t>Final Ranking</t>
  </si>
  <si>
    <t>Seed</t>
  </si>
  <si>
    <t>NCA Players Championship Singles</t>
  </si>
  <si>
    <t>Preliminary Round - 12 Games</t>
  </si>
  <si>
    <t>Player</t>
  </si>
  <si>
    <t>Kris Flossbach</t>
  </si>
  <si>
    <t>A5</t>
  </si>
  <si>
    <t>B5</t>
  </si>
  <si>
    <t>C5</t>
  </si>
  <si>
    <t>D5</t>
  </si>
  <si>
    <t>D6</t>
  </si>
  <si>
    <t>C6</t>
  </si>
  <si>
    <t>B6</t>
  </si>
  <si>
    <t>A6</t>
  </si>
  <si>
    <t>Michel Cloutier</t>
  </si>
  <si>
    <t>Bob Carr</t>
  </si>
  <si>
    <t>Kathleen Beaton</t>
  </si>
  <si>
    <t>Adrian Hoad-Reddick</t>
  </si>
  <si>
    <t>Connie Ortibus</t>
  </si>
  <si>
    <t>Round of 16 - Pool A</t>
  </si>
  <si>
    <t>Round of 16 - Pool B</t>
  </si>
  <si>
    <t>Round of 16 - Pool C</t>
  </si>
  <si>
    <t>Round of 16 - Pool D</t>
  </si>
  <si>
    <t>Beverly Vaillancourt</t>
  </si>
  <si>
    <t>Top 2 in each Pool Advance to Quarterfinals</t>
  </si>
  <si>
    <t>Adj Scores (50% of Preliminary + 100% of Round of 16)</t>
  </si>
  <si>
    <t>Adj Scores (50% of Prelim + 100% of R24)</t>
  </si>
  <si>
    <t>Quarterfinals - First to 9</t>
  </si>
  <si>
    <t>Semifinals - First to 9</t>
  </si>
  <si>
    <t>NCA</t>
  </si>
  <si>
    <t>2022-23 NCA Tour Points Standings</t>
  </si>
  <si>
    <t>St. Jacobs</t>
  </si>
  <si>
    <t/>
  </si>
  <si>
    <t>US Open</t>
  </si>
  <si>
    <t>Matt Hill</t>
  </si>
  <si>
    <t>Club</t>
  </si>
  <si>
    <t>Group</t>
  </si>
  <si>
    <t>20 s</t>
  </si>
  <si>
    <t>Games</t>
  </si>
  <si>
    <t xml:space="preserve">Avg Score </t>
  </si>
  <si>
    <t>Avg 20s</t>
  </si>
  <si>
    <t>Division</t>
  </si>
  <si>
    <t>Div</t>
  </si>
  <si>
    <t>Semi-Finalists</t>
  </si>
  <si>
    <t>Final</t>
  </si>
  <si>
    <t>Division A</t>
  </si>
  <si>
    <t>Division B</t>
  </si>
  <si>
    <t>Division C</t>
  </si>
  <si>
    <t>Champion</t>
  </si>
  <si>
    <t>Peter Tarle</t>
  </si>
  <si>
    <t>Runner-Up</t>
  </si>
  <si>
    <t>Semi-Finalist</t>
  </si>
  <si>
    <t>Chris Gorsline</t>
  </si>
  <si>
    <t>Women's Champion -</t>
  </si>
  <si>
    <t>20's Contest Champion -</t>
  </si>
  <si>
    <t>Wayne Scott</t>
  </si>
  <si>
    <t>Shirley Sager</t>
  </si>
  <si>
    <t>Dave Brown</t>
  </si>
  <si>
    <t>Gloria Walsh</t>
  </si>
  <si>
    <t>Ron Hebden</t>
  </si>
  <si>
    <t>Waterloo</t>
  </si>
  <si>
    <t>A</t>
  </si>
  <si>
    <t>QRCC</t>
  </si>
  <si>
    <t>Matt Brown</t>
  </si>
  <si>
    <t>B</t>
  </si>
  <si>
    <t>Winson Annable</t>
  </si>
  <si>
    <t>Bob Leggatt</t>
  </si>
  <si>
    <t>Philip Ware</t>
  </si>
  <si>
    <t>Doug Sheppard</t>
  </si>
  <si>
    <t>Port Hope</t>
  </si>
  <si>
    <t>C</t>
  </si>
  <si>
    <t>Oliver Ware</t>
  </si>
  <si>
    <t>Mike Pope</t>
  </si>
  <si>
    <t>Gord Smale</t>
  </si>
  <si>
    <t>Steffan  Hiller-Ranney</t>
  </si>
  <si>
    <t>Kevin Hiller</t>
  </si>
  <si>
    <t>Jason Beierling (103)</t>
  </si>
  <si>
    <t>+2</t>
  </si>
  <si>
    <t>+1</t>
  </si>
  <si>
    <t>morning  play</t>
  </si>
  <si>
    <t>Name:</t>
  </si>
  <si>
    <t>Carol Cook</t>
  </si>
  <si>
    <t>Bernie Range</t>
  </si>
  <si>
    <t>Neil Cook</t>
  </si>
  <si>
    <t>Kyle Vaillancourt</t>
  </si>
  <si>
    <t>Jennifer Carstairs</t>
  </si>
  <si>
    <t xml:space="preserve">Oliver Ware </t>
  </si>
  <si>
    <t>Evelyn Hodgkinson</t>
  </si>
  <si>
    <t>Doreen Sulkye</t>
  </si>
  <si>
    <t>D</t>
  </si>
  <si>
    <t>Carl Weins</t>
  </si>
  <si>
    <t>Jim Roth</t>
  </si>
  <si>
    <t>Maxine Whitmore</t>
  </si>
  <si>
    <t>Elmer Cook</t>
  </si>
  <si>
    <t>Amos Martin</t>
  </si>
  <si>
    <t>E</t>
  </si>
  <si>
    <t>Vera Gutzke</t>
  </si>
  <si>
    <t>Kim Moore</t>
  </si>
  <si>
    <t>Marilyn Messerschmidt</t>
  </si>
  <si>
    <t>Doris Wilcox</t>
  </si>
  <si>
    <t>Lola van der Heide</t>
  </si>
  <si>
    <t>Marilyn Thompson</t>
  </si>
  <si>
    <t>Roy Czudnochowski</t>
  </si>
  <si>
    <t>Afternoon scores</t>
  </si>
  <si>
    <t>Ray Kappes</t>
  </si>
  <si>
    <t>Ray  Beierling</t>
  </si>
  <si>
    <t>Roger  Vaillancourt</t>
  </si>
  <si>
    <t>Neil  Cook</t>
  </si>
  <si>
    <t>Carol  Cook</t>
  </si>
  <si>
    <t>Kathi  Fisher</t>
  </si>
  <si>
    <t>Jim  Roth</t>
  </si>
  <si>
    <t>Jo-Ann  Carter</t>
  </si>
  <si>
    <t>Gina  Schick</t>
  </si>
  <si>
    <t>Semifinals and Finals</t>
  </si>
  <si>
    <t>semi finals</t>
  </si>
  <si>
    <t>race to 9</t>
  </si>
  <si>
    <t>Pool   A</t>
  </si>
  <si>
    <t>1st</t>
  </si>
  <si>
    <t>2nd</t>
  </si>
  <si>
    <t>Pool    B</t>
  </si>
  <si>
    <t>Pool  C</t>
  </si>
  <si>
    <t>Pool     D</t>
  </si>
  <si>
    <t>Pool  E</t>
  </si>
  <si>
    <t>2022 Ontario Doubles Crokinole Championships</t>
  </si>
  <si>
    <t>Totals (am)</t>
  </si>
  <si>
    <t>Totals (pm)</t>
  </si>
  <si>
    <t>Total Total</t>
  </si>
  <si>
    <t>Competitive</t>
  </si>
  <si>
    <t>Paul Brubacher</t>
  </si>
  <si>
    <t>Tyson Kuepfer</t>
  </si>
  <si>
    <t>Gerald Kuepfer</t>
  </si>
  <si>
    <t>Ron Reesor</t>
  </si>
  <si>
    <t>Harvey Atchison</t>
  </si>
  <si>
    <t>Jack McGlaughlin</t>
  </si>
  <si>
    <t>Recreational</t>
  </si>
  <si>
    <t>Adjusted</t>
  </si>
  <si>
    <t>Dave White</t>
  </si>
  <si>
    <t>Sean White</t>
  </si>
  <si>
    <t>Darlene Kuepfer</t>
  </si>
  <si>
    <t>Dave Mills</t>
  </si>
  <si>
    <t>Doug Mills</t>
  </si>
  <si>
    <t>Shelley</t>
  </si>
  <si>
    <t>Fred Smith</t>
  </si>
  <si>
    <t>Klaas Steenbeek</t>
  </si>
  <si>
    <t>Sjoukje Steenbeek</t>
  </si>
  <si>
    <t>Lola Van der Heide</t>
  </si>
  <si>
    <t>Ethel</t>
  </si>
  <si>
    <t>Joan</t>
  </si>
  <si>
    <t>Rachel Anstett</t>
  </si>
  <si>
    <t>Janet Diebel</t>
  </si>
  <si>
    <t>Terry Johnson</t>
  </si>
  <si>
    <t>Egan Johnson</t>
  </si>
  <si>
    <t>Gus Hohman</t>
  </si>
  <si>
    <t>Mary Hohman</t>
  </si>
  <si>
    <t>Comp Playoffs</t>
  </si>
  <si>
    <t>Bye</t>
  </si>
  <si>
    <t>Quarter-Final</t>
  </si>
  <si>
    <t>First to 9</t>
  </si>
  <si>
    <t>Semi-Final</t>
  </si>
  <si>
    <t>Finial</t>
  </si>
  <si>
    <t>First to 11</t>
  </si>
  <si>
    <t>Rec Playoffs</t>
  </si>
  <si>
    <t>Cor van den Hoven</t>
  </si>
  <si>
    <t xml:space="preserve"> (best 3 events go towards each player's overall NCA Tour total)</t>
  </si>
  <si>
    <t>2022-23 NCA Tour Points Standings - Recreational</t>
  </si>
  <si>
    <t>Group A</t>
  </si>
  <si>
    <t>Pts</t>
  </si>
  <si>
    <t>Group B</t>
  </si>
  <si>
    <t>Group C</t>
  </si>
  <si>
    <t>Group D</t>
  </si>
  <si>
    <t>James Medway</t>
  </si>
  <si>
    <t>Jason Malloy</t>
  </si>
  <si>
    <t>Chet Bolheke</t>
  </si>
  <si>
    <t>Bob Jones</t>
  </si>
  <si>
    <t>Ehren Lewis</t>
  </si>
  <si>
    <t>Robert Howie</t>
  </si>
  <si>
    <t>Travis Keener</t>
  </si>
  <si>
    <t>Matthew Knapp</t>
  </si>
  <si>
    <t>Ethan Sparling</t>
  </si>
  <si>
    <t>Mike Towns</t>
  </si>
  <si>
    <t>Paul Christner</t>
  </si>
  <si>
    <t>Cues</t>
  </si>
  <si>
    <t>Cathy Harrison</t>
  </si>
  <si>
    <t>Graham Gaessler</t>
  </si>
  <si>
    <t>Dave McCormick</t>
  </si>
  <si>
    <t>Carl Wiens</t>
  </si>
  <si>
    <t>Dave Brubacher</t>
  </si>
  <si>
    <t>Dave Martel</t>
  </si>
  <si>
    <t>Peter Stokoe</t>
  </si>
  <si>
    <t>Albert Steffler</t>
  </si>
  <si>
    <t>Garret Tracey</t>
  </si>
  <si>
    <t>Dennis Brubacher</t>
  </si>
  <si>
    <t>Garth Harrison</t>
  </si>
  <si>
    <t>Lydia Gaessler</t>
  </si>
  <si>
    <t>Earl Martin</t>
  </si>
  <si>
    <t>Jon Brubacher</t>
  </si>
  <si>
    <t>David Stokoe</t>
  </si>
  <si>
    <t>Nick Faria</t>
  </si>
  <si>
    <t>Kelly Fischer</t>
  </si>
  <si>
    <t>Crystal Campbell</t>
  </si>
  <si>
    <t>Scott Barkey</t>
  </si>
  <si>
    <t>Lorraine Proud</t>
  </si>
  <si>
    <t>Sean Geldart</t>
  </si>
  <si>
    <t>Reuben St. Louis</t>
  </si>
  <si>
    <t>Alex Beaton</t>
  </si>
  <si>
    <t>Bill Simit</t>
  </si>
  <si>
    <t>Marilyn Berge</t>
  </si>
  <si>
    <t>Bruno Richter</t>
  </si>
  <si>
    <t>Ben St. Louis</t>
  </si>
  <si>
    <t>Amy Hopper</t>
  </si>
  <si>
    <t>Marty Kreutzer</t>
  </si>
  <si>
    <t>Ken Roth</t>
  </si>
  <si>
    <t xml:space="preserve">Pts </t>
  </si>
  <si>
    <t>Morning</t>
  </si>
  <si>
    <t>Afternoon</t>
  </si>
  <si>
    <t>Competivive</t>
  </si>
  <si>
    <t>Semis:</t>
  </si>
  <si>
    <t>Consolation:</t>
  </si>
  <si>
    <t>Finals:</t>
  </si>
  <si>
    <t>A1 (First)</t>
  </si>
  <si>
    <t>vs</t>
  </si>
  <si>
    <t>A2 (Second)</t>
  </si>
  <si>
    <t>A2 (First)</t>
  </si>
  <si>
    <t>A1 (Second)</t>
  </si>
  <si>
    <t>L1</t>
  </si>
  <si>
    <t>L2</t>
  </si>
  <si>
    <t>W1</t>
  </si>
  <si>
    <t>W2</t>
  </si>
  <si>
    <t>Score:</t>
  </si>
  <si>
    <t>Recreational (4 groups)</t>
  </si>
  <si>
    <t>Jo Ann Carter</t>
  </si>
  <si>
    <t>Elmira</t>
  </si>
  <si>
    <t>Chatham</t>
  </si>
  <si>
    <t>Attendees:</t>
  </si>
  <si>
    <t>RR1 Group</t>
  </si>
  <si>
    <t>RR 1 Score</t>
  </si>
  <si>
    <t>RR1 20s</t>
  </si>
  <si>
    <t>RR2 Group</t>
  </si>
  <si>
    <t>RR2 Score</t>
  </si>
  <si>
    <t>RR2 20s</t>
  </si>
  <si>
    <t>Playoff Seed</t>
  </si>
  <si>
    <t>Finals</t>
  </si>
  <si>
    <t>Ryan Demeurichy</t>
  </si>
  <si>
    <t>Alex Protas</t>
  </si>
  <si>
    <t>Al Little</t>
  </si>
  <si>
    <t>William Brown</t>
  </si>
  <si>
    <t>Grant Flick</t>
  </si>
  <si>
    <t>Jacob Warren</t>
  </si>
  <si>
    <t>David Skipper</t>
  </si>
  <si>
    <t>George Whittal</t>
  </si>
  <si>
    <t>Kyle Schembri</t>
  </si>
  <si>
    <t>Murray Little</t>
  </si>
  <si>
    <t>Matt Weverink</t>
  </si>
  <si>
    <t>Alan Duck</t>
  </si>
  <si>
    <t>Kim Utley</t>
  </si>
  <si>
    <t>Gus Hohmann</t>
  </si>
  <si>
    <t>Joan Murphy-Walker</t>
  </si>
  <si>
    <t>Mary Williston</t>
  </si>
  <si>
    <t>Sherrie Piens</t>
  </si>
  <si>
    <t>Ken Lavoie</t>
  </si>
  <si>
    <t>Doug Young</t>
  </si>
  <si>
    <t>Ruth Deschamps</t>
  </si>
  <si>
    <t>Liz Dalla Bona</t>
  </si>
  <si>
    <t>Tristen McLean</t>
  </si>
  <si>
    <t>Steven Workman</t>
  </si>
  <si>
    <t>Jeff Utley</t>
  </si>
  <si>
    <t>2023 London Crokinole Tournament</t>
  </si>
  <si>
    <t>Comp 1 (AM)</t>
  </si>
  <si>
    <t>Rec 4(AM)</t>
  </si>
  <si>
    <t>Comp A (PM)</t>
  </si>
  <si>
    <t>Comp B (PM)</t>
  </si>
  <si>
    <t>Comp C (PM)</t>
  </si>
  <si>
    <t>J. Beierling</t>
  </si>
  <si>
    <t>Robin Baillie</t>
  </si>
  <si>
    <t>Reinman</t>
  </si>
  <si>
    <t>T. Kuepfer</t>
  </si>
  <si>
    <t>M. Beaton</t>
  </si>
  <si>
    <t>R. Beierling</t>
  </si>
  <si>
    <t>Doug Osborne</t>
  </si>
  <si>
    <t>J. Slater</t>
  </si>
  <si>
    <t>R. Johnston</t>
  </si>
  <si>
    <t>Carafiello</t>
  </si>
  <si>
    <t>Mark Malecki</t>
  </si>
  <si>
    <t>Pat Weiler</t>
  </si>
  <si>
    <t>1st Place</t>
  </si>
  <si>
    <t>Sylvia Brettrager</t>
  </si>
  <si>
    <t>Geoff Axford</t>
  </si>
  <si>
    <t>2nd Place</t>
  </si>
  <si>
    <t>Garrett Stratford</t>
  </si>
  <si>
    <t>Comp 2 (AM)</t>
  </si>
  <si>
    <t>Rec 5(AM)</t>
  </si>
  <si>
    <t>Rec A (PM)</t>
  </si>
  <si>
    <t>Rec B (PM)</t>
  </si>
  <si>
    <t>Rec C (PM)</t>
  </si>
  <si>
    <t>Rec D (PM)</t>
  </si>
  <si>
    <t>Warren</t>
  </si>
  <si>
    <t>Justin Kemp</t>
  </si>
  <si>
    <t>Richards</t>
  </si>
  <si>
    <t>Flick</t>
  </si>
  <si>
    <t>Joe Richards</t>
  </si>
  <si>
    <t>Paul Trnka</t>
  </si>
  <si>
    <t>Martin Edmonds</t>
  </si>
  <si>
    <t>Joe Kello</t>
  </si>
  <si>
    <t>Reesor</t>
  </si>
  <si>
    <t>Tyler Boyes</t>
  </si>
  <si>
    <t>Anne Curtain</t>
  </si>
  <si>
    <t>Terry Roesch</t>
  </si>
  <si>
    <t>Norine Duck</t>
  </si>
  <si>
    <t>Duck</t>
  </si>
  <si>
    <t>Tom Willis</t>
  </si>
  <si>
    <t>Ron Nicol</t>
  </si>
  <si>
    <t>Deschamps</t>
  </si>
  <si>
    <t>John Walker</t>
  </si>
  <si>
    <t>Caroline Baker</t>
  </si>
  <si>
    <t>Richter</t>
  </si>
  <si>
    <t>Julian Ticco</t>
  </si>
  <si>
    <t>Dianne Willis</t>
  </si>
  <si>
    <t>Trnka</t>
  </si>
  <si>
    <t>Comp 3 (AM)</t>
  </si>
  <si>
    <t>Rec 6(AM)</t>
  </si>
  <si>
    <t>Edmmunds</t>
  </si>
  <si>
    <t>Kemp</t>
  </si>
  <si>
    <t>Rec 7(AM)</t>
  </si>
  <si>
    <t>W</t>
  </si>
  <si>
    <t>L</t>
  </si>
  <si>
    <t>Steve Medway</t>
  </si>
  <si>
    <t>Ontario Singles</t>
  </si>
  <si>
    <t>Mike McTague</t>
  </si>
  <si>
    <t>Seth Frank</t>
  </si>
  <si>
    <t>Ehern Lewis</t>
  </si>
  <si>
    <t>Marc Ponzio</t>
  </si>
  <si>
    <t>Kevin Jobin-Davis</t>
  </si>
  <si>
    <t>Tyler Reynolds</t>
  </si>
  <si>
    <t>Michael Stafford</t>
  </si>
  <si>
    <t>Tom Ensslin</t>
  </si>
  <si>
    <t>Justin Frerich</t>
  </si>
  <si>
    <t>Milo Sklar</t>
  </si>
  <si>
    <t>Justin Perry</t>
  </si>
  <si>
    <t>Michael Barth</t>
  </si>
  <si>
    <t>Zac Ufnar</t>
  </si>
  <si>
    <t>David Ewing</t>
  </si>
  <si>
    <t>Ryan Kaczynski</t>
  </si>
  <si>
    <t>Tim Lagan</t>
  </si>
  <si>
    <t>Joe McDonnell</t>
  </si>
  <si>
    <t>Kurt Monaco</t>
  </si>
  <si>
    <t>Vince Socci</t>
  </si>
  <si>
    <t>Justin Gray</t>
  </si>
  <si>
    <t>Dustin Burton</t>
  </si>
  <si>
    <t>Scott Veltman</t>
  </si>
  <si>
    <t>Christina Wagner</t>
  </si>
  <si>
    <t>Griffen Boehlke</t>
  </si>
  <si>
    <t>Marguerite Vestel</t>
  </si>
  <si>
    <t>Mike Mullen</t>
  </si>
  <si>
    <t>Jason Molloy</t>
  </si>
  <si>
    <t>Brian Monaco</t>
  </si>
  <si>
    <t>Chet Boehlke Jr</t>
  </si>
  <si>
    <t>David Jefferson</t>
  </si>
  <si>
    <t>Nick Ozmore</t>
  </si>
  <si>
    <t>Brian Christofel</t>
  </si>
  <si>
    <t>Matt Hotopp</t>
  </si>
  <si>
    <t>Larry Stafford</t>
  </si>
  <si>
    <t>John Powell</t>
  </si>
  <si>
    <t>Mike Rosenberger</t>
  </si>
  <si>
    <t>Josh Molloy</t>
  </si>
  <si>
    <t>Connor Corde</t>
  </si>
  <si>
    <t>Dwight Anderson</t>
  </si>
  <si>
    <t>Ben Harding</t>
  </si>
  <si>
    <t>CJ Flaherty</t>
  </si>
  <si>
    <t>Adam Bedient</t>
  </si>
  <si>
    <t>Lizz Donnelly</t>
  </si>
  <si>
    <t>John Lasch</t>
  </si>
  <si>
    <t>Ed Hampston</t>
  </si>
  <si>
    <t>John Legault Jr.</t>
  </si>
  <si>
    <t>Chris Soltis</t>
  </si>
  <si>
    <t>John Burns</t>
  </si>
  <si>
    <t>Adam Lynch</t>
  </si>
  <si>
    <t>Jeff Saba</t>
  </si>
  <si>
    <t>Chris Wagner</t>
  </si>
  <si>
    <t>Addison Rodriguez</t>
  </si>
  <si>
    <t>Kevin Vestel</t>
  </si>
  <si>
    <t>Barbara Mullen</t>
  </si>
  <si>
    <t>Josh Bamberger</t>
  </si>
  <si>
    <t xml:space="preserve">Jon Conrad </t>
  </si>
  <si>
    <t>Ab Leitch</t>
  </si>
  <si>
    <t>Anna Winnett</t>
  </si>
  <si>
    <t>Jack Tu</t>
  </si>
  <si>
    <t>Julie Bonnett-Woodley</t>
  </si>
  <si>
    <t>Harvey Borman</t>
  </si>
  <si>
    <t>Allan Duck</t>
  </si>
  <si>
    <t>Andrew Klein</t>
  </si>
  <si>
    <t>David Bint</t>
  </si>
  <si>
    <t>Tom Skinner</t>
  </si>
  <si>
    <t>Nikki Beardwood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</si>
</sst>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_);[Red]\(&quot;$&quot;#,##0\)"/>
  </numFmts>
  <fonts count="37" x14ac:knownFonts="1">
    <font>
      <sz val="12"/>
      <color theme="1"/>
      <name val="Calibri"/>
      <family val="2"/>
      <scheme val="minor"/>
    </font>
    <font>
      <sz val="12"/>
      <color theme="1"/>
      <name val="Calibri"/>
      <family val="2"/>
      <scheme val="minor"/>
    </font>
    <font>
      <sz val="12"/>
      <color theme="1"/>
      <name val="Calibri"/>
      <family val="2"/>
      <scheme val="minor"/>
    </font>
    <font>
      <sz val="12"/>
      <name val="Arial"/>
    </font>
    <font>
      <sz val="10"/>
      <name val="Arial"/>
    </font>
    <font>
      <sz val="20"/>
      <name val="Arial"/>
    </font>
    <font>
      <sz val="14"/>
      <name val="Arial"/>
    </font>
    <font>
      <u/>
      <sz val="12"/>
      <color theme="10"/>
      <name val="Calibri"/>
      <family val="2"/>
      <scheme val="minor"/>
    </font>
    <font>
      <u/>
      <sz val="12"/>
      <color theme="11"/>
      <name val="Calibri"/>
      <family val="2"/>
      <scheme val="minor"/>
    </font>
    <font>
      <b/>
      <sz val="20"/>
      <name val="Arial"/>
      <family val="2"/>
    </font>
    <font>
      <sz val="14"/>
      <color indexed="10"/>
      <name val="Arial"/>
    </font>
    <font>
      <sz val="14"/>
      <name val="Comic Sans MS"/>
      <family val="4"/>
    </font>
    <font>
      <sz val="14"/>
      <color indexed="8"/>
      <name val="Arial"/>
      <family val="2"/>
    </font>
    <font>
      <b/>
      <sz val="14"/>
      <name val="Arial"/>
      <family val="2"/>
    </font>
    <font>
      <b/>
      <sz val="14"/>
      <color theme="1"/>
      <name val="Calibri"/>
      <family val="2"/>
      <scheme val="minor"/>
    </font>
    <font>
      <b/>
      <sz val="11"/>
      <color theme="1"/>
      <name val="Calibri"/>
      <family val="2"/>
      <scheme val="minor"/>
    </font>
    <font>
      <sz val="16"/>
      <name val="Arial"/>
      <family val="2"/>
    </font>
    <font>
      <sz val="26"/>
      <name val="Arial"/>
      <family val="2"/>
    </font>
    <font>
      <sz val="18"/>
      <name val="Arial"/>
      <family val="2"/>
    </font>
    <font>
      <vertAlign val="superscript"/>
      <sz val="20"/>
      <name val="Arial"/>
      <family val="2"/>
    </font>
    <font>
      <b/>
      <sz val="12"/>
      <color theme="1"/>
      <name val="Calibri"/>
      <family val="2"/>
      <scheme val="minor"/>
    </font>
    <font>
      <sz val="9"/>
      <color indexed="81"/>
      <name val="Calibri"/>
      <family val="2"/>
    </font>
    <font>
      <sz val="10"/>
      <color theme="1"/>
      <name val="Arial"/>
    </font>
    <font>
      <b/>
      <sz val="10"/>
      <color theme="1"/>
      <name val="Arial"/>
    </font>
    <font>
      <b/>
      <sz val="10"/>
      <name val="Arial"/>
      <family val="2"/>
    </font>
    <font>
      <b/>
      <sz val="10"/>
      <color theme="0"/>
      <name val="Arial"/>
      <family val="2"/>
    </font>
    <font>
      <b/>
      <sz val="14"/>
      <color theme="0"/>
      <name val="Arial"/>
      <family val="2"/>
    </font>
    <font>
      <b/>
      <sz val="14"/>
      <color theme="1"/>
      <name val="Arial"/>
      <family val="2"/>
    </font>
    <font>
      <sz val="12"/>
      <color theme="1"/>
      <name val="Arial"/>
      <family val="2"/>
    </font>
    <font>
      <b/>
      <sz val="12"/>
      <color theme="1"/>
      <name val="Arial"/>
      <family val="2"/>
    </font>
    <font>
      <b/>
      <sz val="18"/>
      <color theme="1"/>
      <name val="Calibri"/>
      <family val="2"/>
      <scheme val="minor"/>
    </font>
    <font>
      <b/>
      <sz val="10"/>
      <color theme="1"/>
      <name val="Calibri"/>
      <scheme val="minor"/>
    </font>
    <font>
      <sz val="10"/>
      <color theme="1"/>
      <name val="Calibri"/>
      <scheme val="minor"/>
    </font>
    <font>
      <b/>
      <sz val="22"/>
      <color theme="1"/>
      <name val="Calibri"/>
      <family val="2"/>
      <scheme val="minor"/>
    </font>
    <font>
      <sz val="11"/>
      <color indexed="8"/>
      <name val="Calibri"/>
      <family val="2"/>
    </font>
    <font>
      <sz val="8"/>
      <color theme="1"/>
      <name val="Calibri"/>
      <family val="2"/>
      <scheme val="minor"/>
    </font>
    <font>
      <b/>
      <sz val="11"/>
      <color indexed="8"/>
      <name val="Calibri"/>
      <family val="2"/>
    </font>
  </fonts>
  <fills count="29">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bgColor indexed="64"/>
      </patternFill>
    </fill>
    <fill>
      <patternFill patternType="solid">
        <fgColor rgb="FF00FFFF"/>
        <bgColor rgb="FF00FFFF"/>
      </patternFill>
    </fill>
    <fill>
      <patternFill patternType="solid">
        <fgColor rgb="FF00FF00"/>
        <bgColor rgb="FF00FF00"/>
      </patternFill>
    </fill>
    <fill>
      <patternFill patternType="solid">
        <fgColor rgb="FFFF9900"/>
        <bgColor rgb="FFFF9900"/>
      </patternFill>
    </fill>
    <fill>
      <patternFill patternType="solid">
        <fgColor rgb="FFFF00FF"/>
        <bgColor rgb="FFFF00FF"/>
      </patternFill>
    </fill>
    <fill>
      <patternFill patternType="solid">
        <fgColor rgb="FFCFE2F3"/>
        <bgColor rgb="FFCFE2F3"/>
      </patternFill>
    </fill>
    <fill>
      <patternFill patternType="solid">
        <fgColor rgb="FFB6D7A8"/>
        <bgColor rgb="FFB6D7A8"/>
      </patternFill>
    </fill>
    <fill>
      <patternFill patternType="solid">
        <fgColor rgb="FFF9CB9C"/>
        <bgColor rgb="FFF9CB9C"/>
      </patternFill>
    </fill>
    <fill>
      <patternFill patternType="solid">
        <fgColor rgb="FFEAD1DC"/>
        <bgColor rgb="FFEAD1DC"/>
      </patternFill>
    </fill>
    <fill>
      <patternFill patternType="solid">
        <fgColor theme="8"/>
        <bgColor indexed="64"/>
      </patternFill>
    </fill>
    <fill>
      <patternFill patternType="solid">
        <fgColor theme="9"/>
        <bgColor indexed="64"/>
      </patternFill>
    </fill>
    <fill>
      <patternFill patternType="solid">
        <fgColor theme="2" tint="-0.499984740745262"/>
        <bgColor indexed="64"/>
      </patternFill>
    </fill>
    <fill>
      <patternFill patternType="solid">
        <fgColor rgb="FF92D050"/>
        <bgColor indexed="64"/>
      </patternFill>
    </fill>
  </fills>
  <borders count="95">
    <border>
      <left/>
      <right/>
      <top/>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top style="thin">
        <color indexed="8"/>
      </top>
      <bottom style="thin">
        <color indexed="8"/>
      </bottom>
      <diagonal/>
    </border>
    <border>
      <left style="thick">
        <color indexed="8"/>
      </left>
      <right style="thick">
        <color indexed="8"/>
      </right>
      <top style="medium">
        <color indexed="8"/>
      </top>
      <bottom style="medium">
        <color indexed="8"/>
      </bottom>
      <diagonal/>
    </border>
    <border>
      <left style="thick">
        <color indexed="8"/>
      </left>
      <right style="thin">
        <color indexed="8"/>
      </right>
      <top style="thin">
        <color indexed="8"/>
      </top>
      <bottom style="thin">
        <color indexed="8"/>
      </bottom>
      <diagonal/>
    </border>
    <border>
      <left style="thin">
        <color indexed="8"/>
      </left>
      <right/>
      <top/>
      <bottom style="thin">
        <color indexed="8"/>
      </bottom>
      <diagonal/>
    </border>
    <border>
      <left style="thick">
        <color indexed="8"/>
      </left>
      <right style="thick">
        <color indexed="8"/>
      </right>
      <top/>
      <bottom/>
      <diagonal/>
    </border>
    <border>
      <left style="medium">
        <color auto="1"/>
      </left>
      <right/>
      <top style="medium">
        <color auto="1"/>
      </top>
      <bottom style="medium">
        <color auto="1"/>
      </bottom>
      <diagonal/>
    </border>
    <border>
      <left style="thick">
        <color indexed="8"/>
      </left>
      <right style="thin">
        <color indexed="8"/>
      </right>
      <top style="thick">
        <color indexed="8"/>
      </top>
      <bottom style="thin">
        <color indexed="8"/>
      </bottom>
      <diagonal/>
    </border>
    <border>
      <left style="medium">
        <color auto="1"/>
      </left>
      <right style="medium">
        <color auto="1"/>
      </right>
      <top/>
      <bottom/>
      <diagonal/>
    </border>
    <border>
      <left style="medium">
        <color auto="1"/>
      </left>
      <right style="thick">
        <color auto="1"/>
      </right>
      <top style="medium">
        <color auto="1"/>
      </top>
      <bottom/>
      <diagonal/>
    </border>
    <border>
      <left style="thick">
        <color auto="1"/>
      </left>
      <right style="thick">
        <color auto="1"/>
      </right>
      <top style="medium">
        <color auto="1"/>
      </top>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bottom style="medium">
        <color auto="1"/>
      </bottom>
      <diagonal/>
    </border>
    <border>
      <left style="thick">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ck">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bottom style="medium">
        <color auto="1"/>
      </bottom>
      <diagonal/>
    </border>
    <border>
      <left style="thin">
        <color auto="1"/>
      </left>
      <right style="medium">
        <color auto="1"/>
      </right>
      <top/>
      <bottom/>
      <diagonal/>
    </border>
    <border>
      <left style="medium">
        <color auto="1"/>
      </left>
      <right/>
      <top/>
      <bottom style="thin">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top style="thin">
        <color auto="1"/>
      </top>
      <bottom style="medium">
        <color auto="1"/>
      </bottom>
      <diagonal/>
    </border>
    <border>
      <left style="thick">
        <color auto="1"/>
      </left>
      <right/>
      <top style="thin">
        <color auto="1"/>
      </top>
      <bottom style="medium">
        <color auto="1"/>
      </bottom>
      <diagonal/>
    </border>
    <border>
      <left/>
      <right/>
      <top/>
      <bottom style="thick">
        <color auto="1"/>
      </bottom>
      <diagonal/>
    </border>
    <border>
      <left style="thick">
        <color auto="1"/>
      </left>
      <right/>
      <top style="thick">
        <color auto="1"/>
      </top>
      <bottom style="thin">
        <color auto="1"/>
      </bottom>
      <diagonal/>
    </border>
    <border>
      <left style="thick">
        <color auto="1"/>
      </left>
      <right style="thin">
        <color auto="1"/>
      </right>
      <top style="thick">
        <color auto="1"/>
      </top>
      <bottom style="medium">
        <color auto="1"/>
      </bottom>
      <diagonal/>
    </border>
    <border>
      <left style="thin">
        <color rgb="FF000000"/>
      </left>
      <right style="thin">
        <color rgb="FF000000"/>
      </right>
      <top style="thin">
        <color rgb="FF000000"/>
      </top>
      <bottom style="thin">
        <color rgb="FF000000"/>
      </bottom>
      <diagonal/>
    </border>
    <border>
      <left/>
      <right style="thin">
        <color auto="1"/>
      </right>
      <top style="thick">
        <color auto="1"/>
      </top>
      <bottom style="thin">
        <color auto="1"/>
      </bottom>
      <diagonal/>
    </border>
    <border>
      <left style="medium">
        <color auto="1"/>
      </left>
      <right style="medium">
        <color auto="1"/>
      </right>
      <top/>
      <bottom style="thin">
        <color auto="1"/>
      </bottom>
      <diagonal/>
    </border>
    <border>
      <left/>
      <right style="thin">
        <color auto="1"/>
      </right>
      <top style="thin">
        <color auto="1"/>
      </top>
      <bottom/>
      <diagonal/>
    </border>
    <border>
      <left style="medium">
        <color auto="1"/>
      </left>
      <right style="medium">
        <color auto="1"/>
      </right>
      <top style="thin">
        <color auto="1"/>
      </top>
      <bottom/>
      <diagonal/>
    </border>
    <border>
      <left/>
      <right/>
      <top style="thin">
        <color auto="1"/>
      </top>
      <bottom/>
      <diagonal/>
    </border>
  </borders>
  <cellStyleXfs count="131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4"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34">
    <xf numFmtId="0" fontId="0" fillId="0" borderId="0" xfId="0"/>
    <xf numFmtId="0" fontId="0" fillId="0" borderId="1" xfId="0" applyBorder="1" applyAlignment="1">
      <alignment horizontal="center"/>
    </xf>
    <xf numFmtId="0" fontId="0" fillId="0" borderId="0" xfId="0" applyBorder="1" applyAlignment="1">
      <alignment horizontal="center" vertical="center"/>
    </xf>
    <xf numFmtId="0" fontId="12" fillId="0" borderId="0" xfId="0" applyFont="1" applyFill="1" applyBorder="1" applyAlignment="1">
      <alignment horizontal="center" vertical="center"/>
    </xf>
    <xf numFmtId="0" fontId="12" fillId="0" borderId="15" xfId="0" applyFont="1" applyFill="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center" vertical="center"/>
    </xf>
    <xf numFmtId="0" fontId="0" fillId="0" borderId="0" xfId="0" applyFont="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horizontal="center" vertical="center"/>
    </xf>
    <xf numFmtId="0" fontId="0"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6" fillId="0" borderId="14" xfId="0" applyFont="1" applyBorder="1" applyAlignment="1">
      <alignment horizontal="center" vertical="center"/>
    </xf>
    <xf numFmtId="164" fontId="6" fillId="0" borderId="23" xfId="0" applyNumberFormat="1" applyFont="1" applyBorder="1" applyAlignment="1">
      <alignment horizontal="center" vertical="center" wrapText="1"/>
    </xf>
    <xf numFmtId="0" fontId="6" fillId="0" borderId="14" xfId="0" applyFont="1" applyFill="1" applyBorder="1" applyAlignment="1">
      <alignment horizontal="center" vertical="center"/>
    </xf>
    <xf numFmtId="0" fontId="6" fillId="0" borderId="17" xfId="8" applyFont="1" applyBorder="1" applyAlignment="1">
      <alignment horizontal="center" vertical="center" wrapText="1"/>
    </xf>
    <xf numFmtId="0" fontId="6" fillId="0" borderId="18" xfId="0" applyFont="1" applyBorder="1" applyAlignment="1">
      <alignment horizontal="center" vertical="center" wrapText="1"/>
    </xf>
    <xf numFmtId="164" fontId="6" fillId="0" borderId="18"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164" fontId="6" fillId="0" borderId="19"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164" fontId="6" fillId="0" borderId="0" xfId="0" applyNumberFormat="1" applyFont="1" applyBorder="1" applyAlignment="1">
      <alignment horizontal="center" vertical="center" wrapText="1"/>
    </xf>
    <xf numFmtId="0" fontId="6" fillId="0" borderId="21" xfId="0" applyFont="1" applyBorder="1" applyAlignment="1">
      <alignment horizontal="center" vertical="center"/>
    </xf>
    <xf numFmtId="0" fontId="6" fillId="0" borderId="17" xfId="8" applyFont="1" applyBorder="1" applyAlignment="1">
      <alignment horizontal="center" vertical="center"/>
    </xf>
    <xf numFmtId="0" fontId="11" fillId="0" borderId="0" xfId="0" applyFont="1" applyFill="1" applyBorder="1" applyAlignment="1">
      <alignment horizontal="center" vertical="center" wrapText="1"/>
    </xf>
    <xf numFmtId="0" fontId="6" fillId="0" borderId="17" xfId="8" applyFont="1" applyFill="1" applyBorder="1" applyAlignment="1">
      <alignment horizontal="center" vertical="center" wrapText="1"/>
    </xf>
    <xf numFmtId="0" fontId="6" fillId="0" borderId="0" xfId="7" applyFont="1" applyFill="1" applyBorder="1" applyAlignment="1">
      <alignment horizontal="center" vertical="center"/>
    </xf>
    <xf numFmtId="0" fontId="1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1" xfId="0" applyFont="1" applyFill="1" applyBorder="1" applyAlignment="1">
      <alignment horizontal="center" vertical="center"/>
    </xf>
    <xf numFmtId="0" fontId="12" fillId="0" borderId="17" xfId="0" applyFont="1" applyFill="1" applyBorder="1" applyAlignment="1">
      <alignment horizontal="center" vertical="center" wrapText="1"/>
    </xf>
    <xf numFmtId="0" fontId="6" fillId="0" borderId="0" xfId="8" applyFont="1" applyBorder="1" applyAlignment="1">
      <alignment horizontal="center" vertical="center" wrapText="1"/>
    </xf>
    <xf numFmtId="0" fontId="6" fillId="0" borderId="0" xfId="8" applyFont="1" applyFill="1" applyBorder="1" applyAlignment="1">
      <alignment horizontal="center" vertical="center" wrapText="1"/>
    </xf>
    <xf numFmtId="0" fontId="6" fillId="0" borderId="0" xfId="7" applyNumberFormat="1" applyFont="1" applyFill="1" applyBorder="1" applyAlignment="1">
      <alignment horizontal="center" vertical="center"/>
    </xf>
    <xf numFmtId="0" fontId="6" fillId="0" borderId="0" xfId="8" applyFont="1" applyBorder="1" applyAlignment="1">
      <alignment horizontal="center" vertical="center"/>
    </xf>
    <xf numFmtId="0" fontId="6" fillId="0" borderId="0" xfId="7" applyFont="1" applyBorder="1" applyAlignment="1">
      <alignment horizontal="center" vertical="center"/>
    </xf>
    <xf numFmtId="0" fontId="0" fillId="0" borderId="0" xfId="0" applyFont="1" applyAlignment="1">
      <alignment horizontal="center"/>
    </xf>
    <xf numFmtId="0" fontId="0" fillId="0" borderId="0" xfId="0" applyFont="1"/>
    <xf numFmtId="0" fontId="0" fillId="0" borderId="2"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4" fillId="0" borderId="8" xfId="0" applyFont="1" applyBorder="1" applyAlignment="1">
      <alignment horizontal="center"/>
    </xf>
    <xf numFmtId="0" fontId="0" fillId="0" borderId="11" xfId="0" applyFont="1" applyBorder="1" applyAlignment="1">
      <alignment horizontal="center"/>
    </xf>
    <xf numFmtId="0" fontId="4" fillId="0" borderId="9" xfId="0" applyFont="1" applyBorder="1" applyAlignment="1">
      <alignment horizontal="center"/>
    </xf>
    <xf numFmtId="0" fontId="9" fillId="0" borderId="0" xfId="0" applyFont="1" applyAlignment="1">
      <alignment horizontal="center"/>
    </xf>
    <xf numFmtId="0" fontId="2" fillId="0" borderId="7" xfId="0" applyNumberFormat="1" applyFont="1" applyBorder="1" applyAlignment="1">
      <alignment horizontal="center"/>
    </xf>
    <xf numFmtId="0" fontId="2" fillId="0" borderId="1" xfId="0" applyNumberFormat="1" applyFont="1" applyBorder="1" applyAlignment="1">
      <alignment horizontal="center" vertical="center"/>
    </xf>
    <xf numFmtId="0" fontId="16" fillId="0" borderId="0" xfId="0" applyFont="1"/>
    <xf numFmtId="0" fontId="17" fillId="0" borderId="0" xfId="0" applyFont="1" applyAlignment="1">
      <alignment horizontal="center"/>
    </xf>
    <xf numFmtId="0" fontId="16" fillId="0" borderId="0" xfId="0" applyFont="1" applyAlignment="1">
      <alignment horizontal="center"/>
    </xf>
    <xf numFmtId="0" fontId="18" fillId="0" borderId="0" xfId="0" applyFont="1"/>
    <xf numFmtId="0" fontId="18" fillId="0" borderId="0" xfId="0" applyFont="1" applyAlignment="1">
      <alignment horizontal="center"/>
    </xf>
    <xf numFmtId="0" fontId="5" fillId="0" borderId="0" xfId="0" applyFont="1"/>
    <xf numFmtId="0" fontId="5" fillId="0" borderId="3" xfId="0" applyFont="1" applyBorder="1" applyAlignment="1">
      <alignment horizontal="center" vertical="top" wrapText="1"/>
    </xf>
    <xf numFmtId="0" fontId="5" fillId="0" borderId="0" xfId="0" applyFont="1" applyBorder="1" applyAlignment="1">
      <alignment horizontal="center" vertical="top" wrapText="1"/>
    </xf>
    <xf numFmtId="0" fontId="5" fillId="0" borderId="22"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Border="1" applyAlignment="1">
      <alignment horizontal="center"/>
    </xf>
    <xf numFmtId="0" fontId="5" fillId="0" borderId="0" xfId="0" applyFont="1" applyBorder="1"/>
    <xf numFmtId="0" fontId="5" fillId="0" borderId="0" xfId="0" applyFont="1" applyFill="1" applyBorder="1"/>
    <xf numFmtId="0" fontId="5" fillId="0" borderId="22"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3" xfId="0" applyFont="1" applyFill="1" applyBorder="1" applyAlignment="1">
      <alignment horizontal="center" vertical="top" wrapText="1"/>
    </xf>
    <xf numFmtId="0" fontId="18" fillId="0" borderId="0" xfId="0" applyFont="1" applyFill="1" applyBorder="1" applyAlignment="1">
      <alignment horizontal="center" vertical="top" wrapText="1"/>
    </xf>
    <xf numFmtId="0" fontId="4" fillId="0" borderId="1" xfId="0" applyFont="1" applyBorder="1" applyAlignment="1">
      <alignment horizontal="center"/>
    </xf>
    <xf numFmtId="0" fontId="0" fillId="0" borderId="1" xfId="0" applyFont="1" applyBorder="1" applyAlignment="1">
      <alignment horizontal="center"/>
    </xf>
    <xf numFmtId="0" fontId="20" fillId="0" borderId="25" xfId="0" applyFont="1" applyBorder="1" applyAlignment="1">
      <alignment horizontal="center"/>
    </xf>
    <xf numFmtId="0" fontId="20" fillId="0" borderId="26" xfId="0" applyFont="1" applyBorder="1" applyAlignment="1">
      <alignment horizontal="center"/>
    </xf>
    <xf numFmtId="0" fontId="20" fillId="0" borderId="27" xfId="0" applyFont="1" applyBorder="1" applyAlignment="1">
      <alignment horizontal="center"/>
    </xf>
    <xf numFmtId="0" fontId="0" fillId="0" borderId="10" xfId="0" applyFont="1" applyBorder="1" applyAlignment="1">
      <alignment horizontal="center"/>
    </xf>
    <xf numFmtId="0" fontId="0" fillId="0" borderId="0" xfId="0" applyFont="1" applyAlignment="1">
      <alignment horizontal="center"/>
    </xf>
    <xf numFmtId="0" fontId="20" fillId="0" borderId="28" xfId="0" applyFont="1" applyBorder="1" applyAlignment="1">
      <alignment horizontal="center"/>
    </xf>
    <xf numFmtId="0" fontId="0" fillId="0" borderId="24" xfId="0" applyFont="1" applyBorder="1" applyAlignment="1">
      <alignment horizontal="center"/>
    </xf>
    <xf numFmtId="0" fontId="0" fillId="0" borderId="29" xfId="0" applyFont="1" applyBorder="1" applyAlignment="1">
      <alignment horizontal="center"/>
    </xf>
    <xf numFmtId="0" fontId="0" fillId="2" borderId="24" xfId="0" applyFont="1" applyFill="1" applyBorder="1" applyAlignment="1">
      <alignment horizontal="center"/>
    </xf>
    <xf numFmtId="0" fontId="0" fillId="0" borderId="30" xfId="0" applyFont="1" applyBorder="1" applyAlignment="1">
      <alignment horizontal="center"/>
    </xf>
    <xf numFmtId="0" fontId="0" fillId="0" borderId="26" xfId="0" applyFont="1" applyBorder="1" applyAlignment="1">
      <alignment horizontal="center"/>
    </xf>
    <xf numFmtId="0" fontId="0" fillId="0" borderId="27" xfId="0" applyFont="1" applyBorder="1" applyAlignment="1">
      <alignment horizontal="center"/>
    </xf>
    <xf numFmtId="0" fontId="0" fillId="0" borderId="5" xfId="0" applyFont="1" applyBorder="1" applyAlignment="1">
      <alignment horizontal="center"/>
    </xf>
    <xf numFmtId="0" fontId="2" fillId="0" borderId="4" xfId="0" applyNumberFormat="1" applyFont="1" applyBorder="1" applyAlignment="1">
      <alignment horizontal="center" vertical="center"/>
    </xf>
    <xf numFmtId="0" fontId="2" fillId="0" borderId="6" xfId="0" applyNumberFormat="1" applyFont="1" applyBorder="1" applyAlignment="1">
      <alignment horizontal="center"/>
    </xf>
    <xf numFmtId="0" fontId="0" fillId="2" borderId="5" xfId="0" applyFont="1" applyFill="1" applyBorder="1" applyAlignment="1">
      <alignment horizontal="center"/>
    </xf>
    <xf numFmtId="0" fontId="4" fillId="2" borderId="1" xfId="0" applyFont="1" applyFill="1" applyBorder="1" applyAlignment="1">
      <alignment horizontal="center"/>
    </xf>
    <xf numFmtId="0" fontId="2" fillId="2" borderId="1" xfId="0" applyNumberFormat="1" applyFont="1" applyFill="1" applyBorder="1" applyAlignment="1">
      <alignment horizontal="center" vertical="center"/>
    </xf>
    <xf numFmtId="0" fontId="0" fillId="2" borderId="8" xfId="0" applyFont="1" applyFill="1" applyBorder="1" applyAlignment="1">
      <alignment horizontal="center"/>
    </xf>
    <xf numFmtId="0" fontId="0" fillId="0" borderId="0" xfId="0" applyFont="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20" fillId="0" borderId="32" xfId="0" applyFont="1" applyBorder="1" applyAlignment="1">
      <alignment horizontal="center"/>
    </xf>
    <xf numFmtId="0" fontId="2" fillId="0" borderId="33" xfId="0" applyNumberFormat="1" applyFont="1" applyBorder="1" applyAlignment="1">
      <alignment horizontal="center"/>
    </xf>
    <xf numFmtId="0" fontId="2" fillId="0" borderId="34" xfId="0" applyNumberFormat="1" applyFont="1" applyBorder="1" applyAlignment="1">
      <alignment horizontal="center"/>
    </xf>
    <xf numFmtId="0" fontId="0" fillId="0" borderId="34" xfId="0" applyFont="1" applyBorder="1" applyAlignment="1">
      <alignment horizontal="center"/>
    </xf>
    <xf numFmtId="0" fontId="0" fillId="0" borderId="24" xfId="0" applyFont="1" applyFill="1" applyBorder="1" applyAlignment="1">
      <alignment horizontal="center"/>
    </xf>
    <xf numFmtId="0" fontId="0" fillId="0" borderId="35" xfId="0" applyFont="1" applyBorder="1" applyAlignment="1">
      <alignment horizontal="center"/>
    </xf>
    <xf numFmtId="0" fontId="4" fillId="0" borderId="36" xfId="0" applyFont="1" applyBorder="1" applyAlignment="1">
      <alignment horizontal="center"/>
    </xf>
    <xf numFmtId="0" fontId="2" fillId="0" borderId="36" xfId="0" applyNumberFormat="1" applyFont="1" applyBorder="1" applyAlignment="1">
      <alignment horizontal="center" vertical="center"/>
    </xf>
    <xf numFmtId="0" fontId="2" fillId="0" borderId="37" xfId="0" applyNumberFormat="1" applyFont="1" applyBorder="1" applyAlignment="1">
      <alignment horizontal="center"/>
    </xf>
    <xf numFmtId="0" fontId="0" fillId="0" borderId="22" xfId="0" applyFont="1" applyBorder="1" applyAlignment="1">
      <alignment horizontal="center"/>
    </xf>
    <xf numFmtId="0" fontId="20" fillId="0" borderId="38" xfId="0" applyFont="1" applyBorder="1" applyAlignment="1">
      <alignment horizontal="center"/>
    </xf>
    <xf numFmtId="0" fontId="0" fillId="0" borderId="38" xfId="0" applyFont="1" applyBorder="1" applyAlignment="1">
      <alignment horizontal="center"/>
    </xf>
    <xf numFmtId="0" fontId="0" fillId="0" borderId="39" xfId="0" applyFont="1" applyBorder="1" applyAlignment="1">
      <alignment horizontal="center"/>
    </xf>
    <xf numFmtId="0" fontId="22" fillId="0" borderId="1" xfId="0" applyFont="1" applyBorder="1" applyAlignment="1">
      <alignment horizontal="center"/>
    </xf>
    <xf numFmtId="0" fontId="23" fillId="0" borderId="0" xfId="0" applyFont="1" applyAlignment="1">
      <alignment horizontal="center"/>
    </xf>
    <xf numFmtId="0" fontId="22" fillId="0" borderId="10" xfId="0" applyFont="1" applyBorder="1" applyAlignment="1">
      <alignment horizontal="center"/>
    </xf>
    <xf numFmtId="0" fontId="22" fillId="0" borderId="0" xfId="0" applyFont="1" applyAlignment="1">
      <alignment horizontal="center"/>
    </xf>
    <xf numFmtId="0" fontId="4" fillId="0" borderId="1" xfId="0" applyFont="1" applyFill="1" applyBorder="1" applyAlignment="1">
      <alignment horizontal="center"/>
    </xf>
    <xf numFmtId="0" fontId="2" fillId="0" borderId="1" xfId="0" applyNumberFormat="1" applyFont="1" applyFill="1" applyBorder="1" applyAlignment="1">
      <alignment horizontal="center" vertical="center"/>
    </xf>
    <xf numFmtId="0" fontId="0" fillId="0" borderId="8" xfId="0" applyFont="1" applyFill="1" applyBorder="1" applyAlignment="1">
      <alignment horizontal="center"/>
    </xf>
    <xf numFmtId="1" fontId="6" fillId="0" borderId="17" xfId="0" applyNumberFormat="1" applyFont="1" applyBorder="1" applyAlignment="1">
      <alignment horizontal="center" vertical="center" wrapText="1"/>
    </xf>
    <xf numFmtId="0" fontId="0" fillId="0" borderId="0" xfId="0" applyFont="1" applyAlignment="1">
      <alignment horizontal="center"/>
    </xf>
    <xf numFmtId="0" fontId="0" fillId="0" borderId="0" xfId="0" applyAlignment="1">
      <alignment horizontal="center"/>
    </xf>
    <xf numFmtId="0" fontId="0" fillId="0" borderId="0" xfId="0" applyFill="1"/>
    <xf numFmtId="164" fontId="24" fillId="0" borderId="0" xfId="0" applyNumberFormat="1" applyFont="1" applyAlignment="1">
      <alignment horizontal="center"/>
    </xf>
    <xf numFmtId="0" fontId="24" fillId="0" borderId="0" xfId="0" applyFont="1" applyAlignment="1">
      <alignment horizontal="center"/>
    </xf>
    <xf numFmtId="0" fontId="25" fillId="3" borderId="40" xfId="0" applyFont="1" applyFill="1" applyBorder="1" applyAlignment="1">
      <alignment horizontal="center"/>
    </xf>
    <xf numFmtId="0" fontId="25" fillId="3" borderId="41" xfId="0" applyFont="1" applyFill="1" applyBorder="1"/>
    <xf numFmtId="0" fontId="25" fillId="3" borderId="41" xfId="0" applyFont="1" applyFill="1" applyBorder="1" applyAlignment="1">
      <alignment horizontal="center" wrapText="1"/>
    </xf>
    <xf numFmtId="0" fontId="25" fillId="3" borderId="42" xfId="0" applyFont="1" applyFill="1" applyBorder="1" applyAlignment="1">
      <alignment horizontal="center" wrapText="1"/>
    </xf>
    <xf numFmtId="0" fontId="25" fillId="3" borderId="0" xfId="0" applyFont="1" applyFill="1" applyBorder="1" applyAlignment="1">
      <alignment horizontal="center"/>
    </xf>
    <xf numFmtId="0" fontId="25" fillId="3" borderId="43" xfId="0" applyFont="1" applyFill="1" applyBorder="1"/>
    <xf numFmtId="0" fontId="25" fillId="3" borderId="44" xfId="0" applyFont="1" applyFill="1" applyBorder="1"/>
    <xf numFmtId="0" fontId="25" fillId="3" borderId="44" xfId="0" applyFont="1" applyFill="1" applyBorder="1" applyAlignment="1">
      <alignment horizontal="center" wrapText="1"/>
    </xf>
    <xf numFmtId="0" fontId="25" fillId="3" borderId="45" xfId="0" applyFont="1" applyFill="1" applyBorder="1" applyAlignment="1">
      <alignment horizontal="center" wrapText="1"/>
    </xf>
    <xf numFmtId="0" fontId="25" fillId="3" borderId="0" xfId="0" applyFont="1" applyFill="1" applyBorder="1" applyAlignment="1">
      <alignment horizontal="center" wrapText="1"/>
    </xf>
    <xf numFmtId="0" fontId="0" fillId="0" borderId="1" xfId="0" applyFill="1" applyBorder="1" applyAlignment="1">
      <alignment horizontal="center"/>
    </xf>
    <xf numFmtId="0" fontId="24" fillId="0" borderId="1" xfId="0" applyFont="1" applyFill="1" applyBorder="1"/>
    <xf numFmtId="0" fontId="0" fillId="0" borderId="1" xfId="0" applyFill="1" applyBorder="1"/>
    <xf numFmtId="0" fontId="24" fillId="0" borderId="1" xfId="0" applyFont="1" applyFill="1" applyBorder="1" applyAlignment="1">
      <alignment horizontal="center"/>
    </xf>
    <xf numFmtId="2" fontId="24" fillId="0" borderId="1" xfId="0" applyNumberFormat="1" applyFont="1" applyFill="1" applyBorder="1" applyAlignment="1">
      <alignment horizontal="center"/>
    </xf>
    <xf numFmtId="0" fontId="24" fillId="0" borderId="36" xfId="0" applyFont="1" applyFill="1" applyBorder="1"/>
    <xf numFmtId="0" fontId="4" fillId="0" borderId="36" xfId="0" applyFont="1" applyFill="1" applyBorder="1"/>
    <xf numFmtId="0" fontId="24" fillId="0" borderId="36" xfId="0" applyFont="1" applyFill="1" applyBorder="1" applyAlignment="1">
      <alignment horizontal="center"/>
    </xf>
    <xf numFmtId="0" fontId="0" fillId="0" borderId="36" xfId="0" applyFill="1" applyBorder="1"/>
    <xf numFmtId="2" fontId="24" fillId="0" borderId="46" xfId="0" applyNumberFormat="1" applyFont="1" applyFill="1" applyBorder="1" applyAlignment="1">
      <alignment horizontal="center"/>
    </xf>
    <xf numFmtId="0" fontId="24" fillId="4" borderId="1" xfId="0" applyFont="1" applyFill="1" applyBorder="1"/>
    <xf numFmtId="0" fontId="4" fillId="0" borderId="1" xfId="0" applyFont="1" applyBorder="1"/>
    <xf numFmtId="0" fontId="26" fillId="5" borderId="28" xfId="0" applyFont="1" applyFill="1" applyBorder="1" applyAlignment="1">
      <alignment horizontal="center"/>
    </xf>
    <xf numFmtId="0" fontId="26" fillId="6" borderId="47" xfId="0" applyFont="1" applyFill="1" applyBorder="1" applyAlignment="1">
      <alignment horizontal="center"/>
    </xf>
    <xf numFmtId="0" fontId="26" fillId="7" borderId="30" xfId="0" applyFont="1" applyFill="1" applyBorder="1" applyAlignment="1">
      <alignment horizontal="center"/>
    </xf>
    <xf numFmtId="0" fontId="26" fillId="8" borderId="28" xfId="0" applyFont="1" applyFill="1" applyBorder="1" applyAlignment="1">
      <alignment horizontal="center"/>
    </xf>
    <xf numFmtId="0" fontId="13" fillId="0" borderId="48" xfId="0" applyFont="1" applyBorder="1" applyAlignment="1">
      <alignment horizontal="center"/>
    </xf>
    <xf numFmtId="0" fontId="6" fillId="9" borderId="49" xfId="0" applyFont="1" applyFill="1" applyBorder="1"/>
    <xf numFmtId="0" fontId="6" fillId="10" borderId="4" xfId="0" applyFont="1" applyFill="1" applyBorder="1"/>
    <xf numFmtId="0" fontId="6" fillId="11" borderId="6" xfId="0" applyFont="1" applyFill="1" applyBorder="1"/>
    <xf numFmtId="0" fontId="13" fillId="0" borderId="50" xfId="0" applyFont="1" applyBorder="1" applyAlignment="1">
      <alignment horizontal="center"/>
    </xf>
    <xf numFmtId="0" fontId="6" fillId="9" borderId="51" xfId="0" applyFont="1" applyFill="1" applyBorder="1"/>
    <xf numFmtId="0" fontId="6" fillId="10" borderId="1" xfId="0" applyFont="1" applyFill="1" applyBorder="1"/>
    <xf numFmtId="0" fontId="6" fillId="11" borderId="7" xfId="0" applyFont="1" applyFill="1" applyBorder="1"/>
    <xf numFmtId="0" fontId="13" fillId="0" borderId="52" xfId="0" applyFont="1" applyBorder="1" applyAlignment="1">
      <alignment horizontal="center"/>
    </xf>
    <xf numFmtId="0" fontId="6" fillId="9" borderId="53" xfId="0" applyFont="1" applyFill="1" applyBorder="1"/>
    <xf numFmtId="0" fontId="6" fillId="10" borderId="10" xfId="0" applyFont="1" applyFill="1" applyBorder="1"/>
    <xf numFmtId="0" fontId="6" fillId="11" borderId="11" xfId="0" applyFont="1" applyFill="1" applyBorder="1"/>
    <xf numFmtId="0" fontId="4" fillId="0" borderId="0" xfId="0" applyFont="1"/>
    <xf numFmtId="0" fontId="13" fillId="0" borderId="22" xfId="0" applyFont="1" applyBorder="1" applyAlignment="1">
      <alignment horizontal="left"/>
    </xf>
    <xf numFmtId="0" fontId="0" fillId="0" borderId="54" xfId="0" applyBorder="1"/>
    <xf numFmtId="0" fontId="6" fillId="0" borderId="55" xfId="0" applyFont="1" applyBorder="1"/>
    <xf numFmtId="0" fontId="13" fillId="0" borderId="0" xfId="0" applyFont="1" applyBorder="1" applyAlignment="1">
      <alignment horizontal="left"/>
    </xf>
    <xf numFmtId="0" fontId="0" fillId="0" borderId="0" xfId="0" applyBorder="1"/>
    <xf numFmtId="0" fontId="0" fillId="0" borderId="56" xfId="0" applyFill="1" applyBorder="1" applyAlignment="1">
      <alignment horizontal="center"/>
    </xf>
    <xf numFmtId="0" fontId="24" fillId="0" borderId="57" xfId="0" applyFont="1" applyFill="1" applyBorder="1"/>
    <xf numFmtId="0" fontId="4" fillId="0" borderId="57" xfId="0" applyFont="1" applyFill="1" applyBorder="1"/>
    <xf numFmtId="0" fontId="24" fillId="0" borderId="57" xfId="0" applyFont="1" applyFill="1" applyBorder="1" applyAlignment="1">
      <alignment horizontal="center"/>
    </xf>
    <xf numFmtId="0" fontId="0" fillId="0" borderId="57" xfId="0" applyFill="1" applyBorder="1"/>
    <xf numFmtId="2" fontId="24" fillId="0" borderId="58" xfId="0" applyNumberFormat="1" applyFont="1" applyFill="1" applyBorder="1" applyAlignment="1">
      <alignment horizontal="center"/>
    </xf>
    <xf numFmtId="0" fontId="24" fillId="4" borderId="56" xfId="0" applyFont="1" applyFill="1" applyBorder="1"/>
    <xf numFmtId="0" fontId="24" fillId="0" borderId="56" xfId="0" applyFont="1" applyFill="1" applyBorder="1"/>
    <xf numFmtId="0" fontId="0" fillId="0" borderId="56" xfId="0" applyFill="1" applyBorder="1"/>
    <xf numFmtId="0" fontId="24" fillId="0" borderId="56" xfId="0" applyFont="1" applyFill="1" applyBorder="1" applyAlignment="1">
      <alignment horizontal="center"/>
    </xf>
    <xf numFmtId="2" fontId="24" fillId="0" borderId="56" xfId="0" applyNumberFormat="1" applyFont="1" applyFill="1" applyBorder="1" applyAlignment="1">
      <alignment horizontal="center"/>
    </xf>
    <xf numFmtId="0" fontId="0" fillId="0" borderId="0" xfId="0" applyFill="1" applyBorder="1" applyAlignment="1">
      <alignment horizontal="center"/>
    </xf>
    <xf numFmtId="0" fontId="24" fillId="0" borderId="0" xfId="0" applyFont="1" applyFill="1" applyBorder="1"/>
    <xf numFmtId="0" fontId="4" fillId="0" borderId="0" xfId="0" applyFont="1" applyFill="1" applyBorder="1"/>
    <xf numFmtId="0" fontId="24" fillId="0" borderId="0" xfId="0" applyFont="1" applyFill="1" applyBorder="1" applyAlignment="1">
      <alignment horizontal="center"/>
    </xf>
    <xf numFmtId="0" fontId="0" fillId="0" borderId="0" xfId="0" applyFill="1" applyBorder="1"/>
    <xf numFmtId="2" fontId="24" fillId="0" borderId="0" xfId="0" applyNumberFormat="1" applyFont="1" applyFill="1" applyBorder="1" applyAlignment="1">
      <alignment horizontal="center"/>
    </xf>
    <xf numFmtId="2" fontId="24" fillId="4" borderId="0" xfId="0" applyNumberFormat="1" applyFont="1" applyFill="1" applyBorder="1" applyAlignment="1">
      <alignment horizontal="center"/>
    </xf>
    <xf numFmtId="0" fontId="0" fillId="0" borderId="0" xfId="0" applyBorder="1" applyAlignment="1">
      <alignment horizontal="center"/>
    </xf>
    <xf numFmtId="2" fontId="24" fillId="4" borderId="1" xfId="0" applyNumberFormat="1" applyFont="1" applyFill="1" applyBorder="1" applyAlignment="1">
      <alignment horizontal="center"/>
    </xf>
    <xf numFmtId="0" fontId="0" fillId="0" borderId="0" xfId="0" quotePrefix="1"/>
    <xf numFmtId="0" fontId="6" fillId="0" borderId="15" xfId="0" applyFont="1" applyBorder="1" applyAlignment="1">
      <alignment horizontal="center" vertical="center"/>
    </xf>
    <xf numFmtId="0" fontId="27" fillId="0" borderId="30" xfId="0" applyFont="1" applyBorder="1"/>
    <xf numFmtId="0" fontId="27" fillId="0" borderId="59" xfId="0" applyFont="1" applyBorder="1" applyAlignment="1">
      <alignment horizontal="center"/>
    </xf>
    <xf numFmtId="0" fontId="27" fillId="0" borderId="47" xfId="0" applyFont="1" applyBorder="1" applyAlignment="1">
      <alignment horizontal="center"/>
    </xf>
    <xf numFmtId="0" fontId="27" fillId="0" borderId="0" xfId="0" applyFont="1" applyBorder="1" applyAlignment="1">
      <alignment horizontal="center"/>
    </xf>
    <xf numFmtId="0" fontId="28" fillId="13" borderId="60" xfId="0" applyFont="1" applyFill="1" applyBorder="1"/>
    <xf numFmtId="0" fontId="0" fillId="13" borderId="4" xfId="0" applyFill="1" applyBorder="1" applyAlignment="1">
      <alignment horizontal="center"/>
    </xf>
    <xf numFmtId="0" fontId="0" fillId="13" borderId="6" xfId="0" applyFill="1" applyBorder="1" applyAlignment="1">
      <alignment horizontal="center"/>
    </xf>
    <xf numFmtId="0" fontId="0" fillId="13" borderId="47" xfId="0" applyFill="1" applyBorder="1" applyAlignment="1">
      <alignment horizontal="center"/>
    </xf>
    <xf numFmtId="0" fontId="0" fillId="0" borderId="28" xfId="0" applyBorder="1" applyAlignment="1">
      <alignment horizontal="left"/>
    </xf>
    <xf numFmtId="0" fontId="28" fillId="13" borderId="61" xfId="0" applyFont="1" applyFill="1" applyBorder="1"/>
    <xf numFmtId="0" fontId="0" fillId="13" borderId="1" xfId="0" applyFill="1" applyBorder="1" applyAlignment="1">
      <alignment horizontal="center"/>
    </xf>
    <xf numFmtId="0" fontId="0" fillId="13" borderId="7" xfId="0" applyFill="1" applyBorder="1" applyAlignment="1">
      <alignment horizontal="center"/>
    </xf>
    <xf numFmtId="0" fontId="0" fillId="13" borderId="62" xfId="0" applyFill="1" applyBorder="1" applyAlignment="1">
      <alignment horizontal="center"/>
    </xf>
    <xf numFmtId="0" fontId="0" fillId="0" borderId="24" xfId="0" applyBorder="1" applyAlignment="1">
      <alignment horizontal="left"/>
    </xf>
    <xf numFmtId="0" fontId="15" fillId="13" borderId="62" xfId="0" applyFont="1" applyFill="1" applyBorder="1" applyAlignment="1">
      <alignment horizontal="center"/>
    </xf>
    <xf numFmtId="0" fontId="28" fillId="13" borderId="63" xfId="0" applyFont="1" applyFill="1" applyBorder="1"/>
    <xf numFmtId="0" fontId="0" fillId="13" borderId="10" xfId="0" applyFill="1" applyBorder="1" applyAlignment="1">
      <alignment horizontal="center"/>
    </xf>
    <xf numFmtId="0" fontId="0" fillId="13" borderId="11" xfId="0" applyFill="1" applyBorder="1" applyAlignment="1">
      <alignment horizontal="center"/>
    </xf>
    <xf numFmtId="0" fontId="0" fillId="13" borderId="64" xfId="0" applyFill="1" applyBorder="1" applyAlignment="1">
      <alignment horizontal="center"/>
    </xf>
    <xf numFmtId="0" fontId="0" fillId="0" borderId="29" xfId="0" applyBorder="1" applyAlignment="1">
      <alignment horizontal="left"/>
    </xf>
    <xf numFmtId="0" fontId="28" fillId="0" borderId="12" xfId="0" applyFont="1" applyFill="1" applyBorder="1"/>
    <xf numFmtId="0" fontId="0" fillId="0" borderId="57" xfId="0" applyFill="1" applyBorder="1" applyAlignment="1">
      <alignment horizontal="center"/>
    </xf>
    <xf numFmtId="0" fontId="0" fillId="0" borderId="65" xfId="0" applyFill="1" applyBorder="1" applyAlignment="1">
      <alignment horizontal="center"/>
    </xf>
    <xf numFmtId="0" fontId="0" fillId="0" borderId="62" xfId="0" applyFill="1" applyBorder="1" applyAlignment="1">
      <alignment horizontal="center"/>
    </xf>
    <xf numFmtId="0" fontId="28" fillId="14" borderId="60" xfId="0" applyFont="1" applyFill="1" applyBorder="1"/>
    <xf numFmtId="0" fontId="0" fillId="14" borderId="4" xfId="0" applyFill="1" applyBorder="1" applyAlignment="1">
      <alignment horizontal="center"/>
    </xf>
    <xf numFmtId="0" fontId="0" fillId="14" borderId="6" xfId="0" applyFill="1" applyBorder="1" applyAlignment="1">
      <alignment horizontal="center"/>
    </xf>
    <xf numFmtId="0" fontId="0" fillId="14" borderId="47" xfId="0" applyFill="1" applyBorder="1" applyAlignment="1">
      <alignment horizontal="center"/>
    </xf>
    <xf numFmtId="0" fontId="0" fillId="0" borderId="24" xfId="0" applyFill="1" applyBorder="1" applyAlignment="1">
      <alignment horizontal="left"/>
    </xf>
    <xf numFmtId="0" fontId="28" fillId="14" borderId="61" xfId="0" applyFont="1" applyFill="1" applyBorder="1"/>
    <xf numFmtId="0" fontId="0" fillId="14" borderId="1" xfId="0" applyFill="1" applyBorder="1" applyAlignment="1">
      <alignment horizontal="center"/>
    </xf>
    <xf numFmtId="0" fontId="0" fillId="14" borderId="7" xfId="0" applyFill="1" applyBorder="1" applyAlignment="1">
      <alignment horizontal="center"/>
    </xf>
    <xf numFmtId="0" fontId="0" fillId="14" borderId="62" xfId="0" applyFill="1" applyBorder="1" applyAlignment="1">
      <alignment horizontal="center"/>
    </xf>
    <xf numFmtId="0" fontId="28" fillId="14" borderId="66" xfId="0" applyFont="1" applyFill="1" applyBorder="1"/>
    <xf numFmtId="0" fontId="15" fillId="14" borderId="62" xfId="0" applyFont="1" applyFill="1" applyBorder="1" applyAlignment="1">
      <alignment horizontal="center"/>
    </xf>
    <xf numFmtId="0" fontId="0" fillId="0" borderId="24" xfId="0" applyFont="1" applyFill="1" applyBorder="1" applyAlignment="1">
      <alignment horizontal="left"/>
    </xf>
    <xf numFmtId="0" fontId="28" fillId="14" borderId="67" xfId="0" applyFont="1" applyFill="1" applyBorder="1"/>
    <xf numFmtId="0" fontId="0" fillId="14" borderId="10" xfId="0" applyFill="1" applyBorder="1" applyAlignment="1">
      <alignment horizontal="center"/>
    </xf>
    <xf numFmtId="0" fontId="0" fillId="14" borderId="11" xfId="0" applyFill="1" applyBorder="1" applyAlignment="1">
      <alignment horizontal="center"/>
    </xf>
    <xf numFmtId="0" fontId="0" fillId="14" borderId="64" xfId="0" applyFill="1" applyBorder="1" applyAlignment="1">
      <alignment horizontal="center"/>
    </xf>
    <xf numFmtId="0" fontId="0" fillId="0" borderId="29" xfId="0" applyFill="1" applyBorder="1" applyAlignment="1">
      <alignment horizontal="left"/>
    </xf>
    <xf numFmtId="0" fontId="28" fillId="12" borderId="60" xfId="0" applyFont="1" applyFill="1" applyBorder="1"/>
    <xf numFmtId="0" fontId="0" fillId="12" borderId="4" xfId="0" applyFill="1" applyBorder="1" applyAlignment="1">
      <alignment horizontal="center"/>
    </xf>
    <xf numFmtId="0" fontId="0" fillId="12" borderId="6" xfId="0" applyFill="1" applyBorder="1" applyAlignment="1">
      <alignment horizontal="center"/>
    </xf>
    <xf numFmtId="0" fontId="0" fillId="12" borderId="47" xfId="0" applyFill="1" applyBorder="1" applyAlignment="1">
      <alignment horizontal="center"/>
    </xf>
    <xf numFmtId="0" fontId="0" fillId="0" borderId="28" xfId="0" applyFill="1" applyBorder="1" applyAlignment="1">
      <alignment horizontal="left"/>
    </xf>
    <xf numFmtId="0" fontId="28" fillId="12" borderId="61" xfId="0" applyFont="1" applyFill="1" applyBorder="1"/>
    <xf numFmtId="0" fontId="0" fillId="12" borderId="1" xfId="0" applyFill="1" applyBorder="1" applyAlignment="1">
      <alignment horizontal="center"/>
    </xf>
    <xf numFmtId="0" fontId="0" fillId="12" borderId="7" xfId="0" applyFill="1" applyBorder="1" applyAlignment="1">
      <alignment horizontal="center"/>
    </xf>
    <xf numFmtId="0" fontId="0" fillId="12" borderId="62" xfId="0" applyFill="1" applyBorder="1" applyAlignment="1">
      <alignment horizontal="center"/>
    </xf>
    <xf numFmtId="0" fontId="15" fillId="12" borderId="62" xfId="0" applyFont="1" applyFill="1" applyBorder="1" applyAlignment="1">
      <alignment horizontal="center"/>
    </xf>
    <xf numFmtId="0" fontId="28" fillId="12" borderId="67" xfId="0" applyFont="1" applyFill="1" applyBorder="1"/>
    <xf numFmtId="0" fontId="0" fillId="12" borderId="10" xfId="0" applyFill="1" applyBorder="1" applyAlignment="1">
      <alignment horizontal="center"/>
    </xf>
    <xf numFmtId="0" fontId="0" fillId="12" borderId="11" xfId="0" applyFill="1" applyBorder="1" applyAlignment="1">
      <alignment horizontal="center"/>
    </xf>
    <xf numFmtId="0" fontId="0" fillId="12" borderId="64" xfId="0" applyFill="1" applyBorder="1" applyAlignment="1">
      <alignment horizontal="center"/>
    </xf>
    <xf numFmtId="0" fontId="28" fillId="10" borderId="60" xfId="0" applyFont="1" applyFill="1" applyBorder="1"/>
    <xf numFmtId="0" fontId="0" fillId="10" borderId="4" xfId="0" applyFill="1" applyBorder="1" applyAlignment="1">
      <alignment horizontal="center"/>
    </xf>
    <xf numFmtId="0" fontId="0" fillId="10" borderId="6" xfId="0" applyFill="1" applyBorder="1" applyAlignment="1">
      <alignment horizontal="center"/>
    </xf>
    <xf numFmtId="0" fontId="0" fillId="10" borderId="59" xfId="0" applyFill="1" applyBorder="1" applyAlignment="1">
      <alignment horizontal="center"/>
    </xf>
    <xf numFmtId="0" fontId="28" fillId="10" borderId="61" xfId="0" applyFont="1" applyFill="1" applyBorder="1"/>
    <xf numFmtId="0" fontId="0" fillId="10" borderId="1" xfId="0" applyFill="1" applyBorder="1" applyAlignment="1">
      <alignment horizontal="center"/>
    </xf>
    <xf numFmtId="0" fontId="0" fillId="10" borderId="7" xfId="0" applyFill="1" applyBorder="1" applyAlignment="1">
      <alignment horizontal="center"/>
    </xf>
    <xf numFmtId="0" fontId="0" fillId="10" borderId="0" xfId="0" applyFill="1" applyBorder="1" applyAlignment="1">
      <alignment horizontal="center"/>
    </xf>
    <xf numFmtId="0" fontId="15" fillId="10" borderId="0" xfId="0" applyFont="1" applyFill="1" applyBorder="1" applyAlignment="1">
      <alignment horizontal="center"/>
    </xf>
    <xf numFmtId="0" fontId="28" fillId="10" borderId="63" xfId="0" applyFont="1" applyFill="1" applyBorder="1"/>
    <xf numFmtId="0" fontId="0" fillId="10" borderId="10" xfId="0" applyFill="1" applyBorder="1" applyAlignment="1">
      <alignment horizontal="center"/>
    </xf>
    <xf numFmtId="0" fontId="0" fillId="10" borderId="11" xfId="0" applyFill="1" applyBorder="1" applyAlignment="1">
      <alignment horizontal="center"/>
    </xf>
    <xf numFmtId="0" fontId="0" fillId="10" borderId="31" xfId="0" applyFill="1" applyBorder="1" applyAlignment="1">
      <alignment horizontal="center"/>
    </xf>
    <xf numFmtId="0" fontId="28" fillId="0" borderId="0" xfId="0" applyFont="1" applyFill="1" applyBorder="1"/>
    <xf numFmtId="0" fontId="28" fillId="15" borderId="60" xfId="0" applyFont="1" applyFill="1" applyBorder="1"/>
    <xf numFmtId="0" fontId="0" fillId="15" borderId="4" xfId="0" applyFill="1" applyBorder="1" applyAlignment="1">
      <alignment horizontal="center"/>
    </xf>
    <xf numFmtId="0" fontId="0" fillId="15" borderId="6" xfId="0" applyFill="1" applyBorder="1" applyAlignment="1">
      <alignment horizontal="center"/>
    </xf>
    <xf numFmtId="0" fontId="0" fillId="15" borderId="59" xfId="0" applyFill="1" applyBorder="1" applyAlignment="1">
      <alignment horizontal="center"/>
    </xf>
    <xf numFmtId="0" fontId="0" fillId="0" borderId="28" xfId="0" applyFill="1" applyBorder="1" applyAlignment="1">
      <alignment horizontal="center"/>
    </xf>
    <xf numFmtId="0" fontId="28" fillId="15" borderId="61" xfId="0" applyFont="1" applyFill="1" applyBorder="1"/>
    <xf numFmtId="0" fontId="0" fillId="15" borderId="1" xfId="0" applyFill="1" applyBorder="1" applyAlignment="1">
      <alignment horizontal="center"/>
    </xf>
    <xf numFmtId="0" fontId="0" fillId="15" borderId="7" xfId="0" applyFill="1" applyBorder="1" applyAlignment="1">
      <alignment horizontal="center"/>
    </xf>
    <xf numFmtId="0" fontId="0" fillId="15" borderId="0" xfId="0" applyFill="1" applyBorder="1" applyAlignment="1">
      <alignment horizontal="center"/>
    </xf>
    <xf numFmtId="0" fontId="0" fillId="0" borderId="24" xfId="0" applyFill="1" applyBorder="1" applyAlignment="1">
      <alignment horizontal="center"/>
    </xf>
    <xf numFmtId="0" fontId="0" fillId="0" borderId="24" xfId="0" applyBorder="1" applyAlignment="1">
      <alignment horizontal="center"/>
    </xf>
    <xf numFmtId="0" fontId="28" fillId="15" borderId="66" xfId="0" applyFont="1" applyFill="1" applyBorder="1"/>
    <xf numFmtId="0" fontId="28" fillId="15" borderId="63" xfId="0" applyFont="1" applyFill="1" applyBorder="1"/>
    <xf numFmtId="0" fontId="0" fillId="15" borderId="10" xfId="0" applyFill="1" applyBorder="1" applyAlignment="1">
      <alignment horizontal="center"/>
    </xf>
    <xf numFmtId="0" fontId="0" fillId="15" borderId="11" xfId="0" applyFill="1" applyBorder="1" applyAlignment="1">
      <alignment horizontal="center"/>
    </xf>
    <xf numFmtId="0" fontId="0" fillId="15" borderId="31" xfId="0" applyFill="1" applyBorder="1" applyAlignment="1">
      <alignment horizontal="center"/>
    </xf>
    <xf numFmtId="0" fontId="0" fillId="0" borderId="29" xfId="0" applyBorder="1" applyAlignment="1">
      <alignment horizontal="center"/>
    </xf>
    <xf numFmtId="0" fontId="29" fillId="13" borderId="60" xfId="0" applyFont="1" applyFill="1" applyBorder="1"/>
    <xf numFmtId="0" fontId="15" fillId="13" borderId="4" xfId="0" applyFont="1" applyFill="1" applyBorder="1" applyAlignment="1">
      <alignment horizontal="center"/>
    </xf>
    <xf numFmtId="0" fontId="15" fillId="13" borderId="6" xfId="0" applyFont="1" applyFill="1" applyBorder="1" applyAlignment="1">
      <alignment horizontal="center"/>
    </xf>
    <xf numFmtId="0" fontId="29" fillId="14" borderId="60" xfId="0" applyFont="1" applyFill="1" applyBorder="1"/>
    <xf numFmtId="0" fontId="15" fillId="14" borderId="4" xfId="0" applyFont="1" applyFill="1" applyBorder="1" applyAlignment="1">
      <alignment horizontal="center"/>
    </xf>
    <xf numFmtId="0" fontId="15" fillId="14" borderId="6" xfId="0" applyFont="1" applyFill="1" applyBorder="1" applyAlignment="1">
      <alignment horizontal="center"/>
    </xf>
    <xf numFmtId="0" fontId="29" fillId="13" borderId="61" xfId="0" applyFont="1" applyFill="1" applyBorder="1"/>
    <xf numFmtId="0" fontId="15" fillId="13" borderId="1" xfId="0" applyFont="1" applyFill="1" applyBorder="1" applyAlignment="1">
      <alignment horizontal="center"/>
    </xf>
    <xf numFmtId="0" fontId="15" fillId="13" borderId="7" xfId="0" applyFont="1" applyFill="1" applyBorder="1" applyAlignment="1">
      <alignment horizontal="center"/>
    </xf>
    <xf numFmtId="0" fontId="29" fillId="14" borderId="61" xfId="0" applyFont="1" applyFill="1" applyBorder="1"/>
    <xf numFmtId="0" fontId="15" fillId="14" borderId="1" xfId="0" applyFont="1" applyFill="1" applyBorder="1" applyAlignment="1">
      <alignment horizontal="center"/>
    </xf>
    <xf numFmtId="0" fontId="15" fillId="14" borderId="7" xfId="0" applyFont="1" applyFill="1" applyBorder="1" applyAlignment="1">
      <alignment horizontal="center"/>
    </xf>
    <xf numFmtId="0" fontId="14" fillId="13" borderId="62" xfId="0" applyFont="1" applyFill="1" applyBorder="1" applyAlignment="1">
      <alignment horizontal="center"/>
    </xf>
    <xf numFmtId="0" fontId="29" fillId="14" borderId="66" xfId="0" applyFont="1" applyFill="1" applyBorder="1"/>
    <xf numFmtId="0" fontId="28" fillId="0" borderId="61" xfId="0" applyFont="1" applyFill="1" applyBorder="1"/>
    <xf numFmtId="0" fontId="0" fillId="0" borderId="7" xfId="0" applyFill="1" applyBorder="1" applyAlignment="1">
      <alignment horizontal="center"/>
    </xf>
    <xf numFmtId="0" fontId="14" fillId="14" borderId="62" xfId="0" applyFont="1" applyFill="1" applyBorder="1" applyAlignment="1">
      <alignment horizontal="center"/>
    </xf>
    <xf numFmtId="0" fontId="28" fillId="0" borderId="63" xfId="0" applyFont="1" applyFill="1" applyBorder="1"/>
    <xf numFmtId="0" fontId="0" fillId="0" borderId="10" xfId="0" applyFill="1" applyBorder="1" applyAlignment="1">
      <alignment horizontal="center"/>
    </xf>
    <xf numFmtId="0" fontId="0" fillId="0" borderId="11" xfId="0" applyFill="1" applyBorder="1" applyAlignment="1">
      <alignment horizontal="center"/>
    </xf>
    <xf numFmtId="0" fontId="28" fillId="0" borderId="67" xfId="0" applyFont="1" applyFill="1" applyBorder="1"/>
    <xf numFmtId="0" fontId="29" fillId="12" borderId="60" xfId="0" applyFont="1" applyFill="1" applyBorder="1"/>
    <xf numFmtId="0" fontId="15" fillId="12" borderId="4" xfId="0" applyFont="1" applyFill="1" applyBorder="1" applyAlignment="1">
      <alignment horizontal="center"/>
    </xf>
    <xf numFmtId="0" fontId="15" fillId="12" borderId="6" xfId="0" applyFont="1" applyFill="1" applyBorder="1" applyAlignment="1">
      <alignment horizontal="center"/>
    </xf>
    <xf numFmtId="0" fontId="29" fillId="10" borderId="60" xfId="0" applyFont="1" applyFill="1" applyBorder="1"/>
    <xf numFmtId="0" fontId="15" fillId="16" borderId="6" xfId="0" applyFont="1" applyFill="1" applyBorder="1" applyAlignment="1">
      <alignment horizontal="center"/>
    </xf>
    <xf numFmtId="0" fontId="15" fillId="16" borderId="68" xfId="0" applyFont="1" applyFill="1" applyBorder="1" applyAlignment="1">
      <alignment horizontal="center"/>
    </xf>
    <xf numFmtId="0" fontId="0" fillId="16" borderId="47" xfId="0" applyFill="1" applyBorder="1" applyAlignment="1">
      <alignment horizontal="center"/>
    </xf>
    <xf numFmtId="0" fontId="29" fillId="12" borderId="61" xfId="0" applyFont="1" applyFill="1" applyBorder="1"/>
    <xf numFmtId="0" fontId="15" fillId="12" borderId="1" xfId="0" applyFont="1" applyFill="1" applyBorder="1" applyAlignment="1">
      <alignment horizontal="center"/>
    </xf>
    <xf numFmtId="0" fontId="15" fillId="12" borderId="7" xfId="0" applyFont="1" applyFill="1" applyBorder="1" applyAlignment="1">
      <alignment horizontal="center"/>
    </xf>
    <xf numFmtId="0" fontId="29" fillId="10" borderId="61" xfId="0" applyFont="1" applyFill="1" applyBorder="1"/>
    <xf numFmtId="0" fontId="15" fillId="16" borderId="7" xfId="0" applyFont="1" applyFill="1" applyBorder="1" applyAlignment="1">
      <alignment horizontal="center"/>
    </xf>
    <xf numFmtId="0" fontId="15" fillId="16" borderId="69" xfId="0" applyFont="1" applyFill="1" applyBorder="1" applyAlignment="1">
      <alignment horizontal="center"/>
    </xf>
    <xf numFmtId="0" fontId="0" fillId="16" borderId="62" xfId="0" applyFill="1" applyBorder="1" applyAlignment="1">
      <alignment horizontal="center"/>
    </xf>
    <xf numFmtId="0" fontId="14" fillId="16" borderId="62" xfId="0" applyFont="1" applyFill="1" applyBorder="1" applyAlignment="1">
      <alignment horizontal="center"/>
    </xf>
    <xf numFmtId="0" fontId="14" fillId="12" borderId="62" xfId="0" applyFont="1" applyFill="1" applyBorder="1" applyAlignment="1">
      <alignment horizontal="center"/>
    </xf>
    <xf numFmtId="0" fontId="0" fillId="0" borderId="69" xfId="0" applyFill="1" applyBorder="1" applyAlignment="1">
      <alignment horizontal="center"/>
    </xf>
    <xf numFmtId="0" fontId="0" fillId="0" borderId="70" xfId="0" applyFill="1" applyBorder="1" applyAlignment="1">
      <alignment horizontal="center"/>
    </xf>
    <xf numFmtId="0" fontId="0" fillId="16" borderId="64" xfId="0" applyFill="1" applyBorder="1" applyAlignment="1">
      <alignment horizontal="center"/>
    </xf>
    <xf numFmtId="0" fontId="28" fillId="4" borderId="0" xfId="0" applyFont="1" applyFill="1" applyBorder="1"/>
    <xf numFmtId="0" fontId="0" fillId="4" borderId="0" xfId="0" applyFill="1" applyBorder="1" applyAlignment="1">
      <alignment horizontal="center"/>
    </xf>
    <xf numFmtId="0" fontId="0" fillId="4" borderId="0" xfId="0" applyFill="1"/>
    <xf numFmtId="0" fontId="29" fillId="15" borderId="60" xfId="0" applyFont="1" applyFill="1" applyBorder="1"/>
    <xf numFmtId="0" fontId="15" fillId="15" borderId="4" xfId="0" applyFont="1" applyFill="1" applyBorder="1" applyAlignment="1">
      <alignment horizontal="center"/>
    </xf>
    <xf numFmtId="0" fontId="15" fillId="15" borderId="6" xfId="0" applyFont="1" applyFill="1" applyBorder="1" applyAlignment="1">
      <alignment horizontal="center"/>
    </xf>
    <xf numFmtId="0" fontId="0" fillId="15" borderId="47" xfId="0" applyFill="1" applyBorder="1"/>
    <xf numFmtId="0" fontId="29" fillId="15" borderId="61" xfId="0" applyFont="1" applyFill="1" applyBorder="1"/>
    <xf numFmtId="0" fontId="15" fillId="15" borderId="1" xfId="0" applyFont="1" applyFill="1" applyBorder="1" applyAlignment="1">
      <alignment horizontal="center"/>
    </xf>
    <xf numFmtId="0" fontId="15" fillId="15" borderId="7" xfId="0" applyFont="1" applyFill="1" applyBorder="1" applyAlignment="1">
      <alignment horizontal="center"/>
    </xf>
    <xf numFmtId="0" fontId="0" fillId="15" borderId="62" xfId="0" applyFill="1" applyBorder="1"/>
    <xf numFmtId="0" fontId="29" fillId="15" borderId="66" xfId="0" applyFont="1" applyFill="1" applyBorder="1"/>
    <xf numFmtId="0" fontId="14" fillId="15" borderId="62" xfId="0" applyFont="1" applyFill="1" applyBorder="1"/>
    <xf numFmtId="0" fontId="0" fillId="15" borderId="64" xfId="0" applyFill="1" applyBorder="1"/>
    <xf numFmtId="0" fontId="0" fillId="0" borderId="3" xfId="0" applyBorder="1" applyAlignment="1">
      <alignment horizontal="center"/>
    </xf>
    <xf numFmtId="0" fontId="14" fillId="0" borderId="59" xfId="0" applyFont="1" applyBorder="1" applyAlignment="1">
      <alignment horizontal="center"/>
    </xf>
    <xf numFmtId="0" fontId="15" fillId="0" borderId="0" xfId="0" applyFont="1" applyBorder="1" applyAlignment="1">
      <alignment horizontal="center"/>
    </xf>
    <xf numFmtId="0" fontId="29" fillId="13" borderId="12" xfId="0" applyFont="1" applyFill="1" applyBorder="1"/>
    <xf numFmtId="0" fontId="15" fillId="13" borderId="0" xfId="0" applyFont="1" applyFill="1" applyBorder="1" applyAlignment="1">
      <alignment horizontal="center"/>
    </xf>
    <xf numFmtId="0" fontId="0" fillId="13" borderId="12" xfId="0" applyFill="1" applyBorder="1" applyAlignment="1">
      <alignment horizontal="center"/>
    </xf>
    <xf numFmtId="0" fontId="29" fillId="13" borderId="0" xfId="0" applyFont="1" applyFill="1" applyBorder="1"/>
    <xf numFmtId="0" fontId="29" fillId="13" borderId="62" xfId="0" applyFont="1" applyFill="1" applyBorder="1"/>
    <xf numFmtId="0" fontId="0" fillId="0" borderId="47" xfId="0" applyFill="1" applyBorder="1" applyAlignment="1">
      <alignment horizontal="center"/>
    </xf>
    <xf numFmtId="0" fontId="0" fillId="0" borderId="64" xfId="0" applyFill="1" applyBorder="1" applyAlignment="1">
      <alignment horizontal="center"/>
    </xf>
    <xf numFmtId="0" fontId="29" fillId="0" borderId="12" xfId="0" applyFont="1" applyFill="1" applyBorder="1"/>
    <xf numFmtId="0" fontId="15" fillId="0" borderId="0" xfId="0" applyFont="1" applyFill="1" applyBorder="1" applyAlignment="1">
      <alignment horizontal="center"/>
    </xf>
    <xf numFmtId="0" fontId="15" fillId="0" borderId="62" xfId="0" applyFont="1" applyFill="1" applyBorder="1" applyAlignment="1">
      <alignment horizontal="center"/>
    </xf>
    <xf numFmtId="0" fontId="0" fillId="0" borderId="12" xfId="0" applyBorder="1" applyAlignment="1">
      <alignment horizontal="center"/>
    </xf>
    <xf numFmtId="0" fontId="0" fillId="0" borderId="62" xfId="0" applyBorder="1"/>
    <xf numFmtId="0" fontId="29" fillId="0" borderId="67" xfId="0" applyFont="1" applyFill="1" applyBorder="1"/>
    <xf numFmtId="0" fontId="15" fillId="0" borderId="31" xfId="0" applyFont="1" applyFill="1" applyBorder="1" applyAlignment="1">
      <alignment horizontal="center"/>
    </xf>
    <xf numFmtId="0" fontId="15" fillId="0" borderId="64" xfId="0" applyFont="1" applyFill="1" applyBorder="1" applyAlignment="1">
      <alignment horizontal="center"/>
    </xf>
    <xf numFmtId="0" fontId="0" fillId="0" borderId="31" xfId="0" applyBorder="1" applyAlignment="1">
      <alignment horizontal="center"/>
    </xf>
    <xf numFmtId="0" fontId="0" fillId="0" borderId="67" xfId="0" applyBorder="1" applyAlignment="1">
      <alignment horizontal="center"/>
    </xf>
    <xf numFmtId="0" fontId="0" fillId="0" borderId="31" xfId="0" applyBorder="1"/>
    <xf numFmtId="0" fontId="0" fillId="0" borderId="64" xfId="0" applyBorder="1"/>
    <xf numFmtId="0" fontId="0" fillId="13" borderId="62" xfId="0" applyFill="1" applyBorder="1"/>
    <xf numFmtId="0" fontId="0" fillId="0" borderId="29" xfId="0" applyFill="1" applyBorder="1" applyAlignment="1">
      <alignment horizontal="center"/>
    </xf>
    <xf numFmtId="0" fontId="0" fillId="0" borderId="31" xfId="0" applyFill="1" applyBorder="1" applyAlignment="1">
      <alignment horizontal="center"/>
    </xf>
    <xf numFmtId="0" fontId="0" fillId="0" borderId="12" xfId="0" applyFill="1" applyBorder="1" applyAlignment="1">
      <alignment horizontal="center"/>
    </xf>
    <xf numFmtId="0" fontId="0" fillId="0" borderId="28" xfId="0" applyBorder="1" applyAlignment="1">
      <alignment horizontal="center"/>
    </xf>
    <xf numFmtId="0" fontId="14" fillId="0" borderId="59" xfId="0" applyFont="1" applyFill="1" applyBorder="1" applyAlignment="1">
      <alignment horizontal="center"/>
    </xf>
    <xf numFmtId="0" fontId="14" fillId="0" borderId="47" xfId="0" applyFont="1" applyFill="1" applyBorder="1" applyAlignment="1">
      <alignment horizontal="center"/>
    </xf>
    <xf numFmtId="0" fontId="14" fillId="4" borderId="59" xfId="0" applyFont="1" applyFill="1" applyBorder="1" applyAlignment="1">
      <alignment horizontal="center"/>
    </xf>
    <xf numFmtId="0" fontId="0" fillId="0" borderId="47" xfId="0" applyBorder="1"/>
    <xf numFmtId="0" fontId="0" fillId="0" borderId="47" xfId="0" applyBorder="1" applyAlignment="1">
      <alignment horizontal="center"/>
    </xf>
    <xf numFmtId="0" fontId="0" fillId="0" borderId="64" xfId="0" applyBorder="1" applyAlignment="1">
      <alignment horizontal="center"/>
    </xf>
    <xf numFmtId="0" fontId="0" fillId="0" borderId="0" xfId="0" applyAlignment="1">
      <alignment horizontal="center"/>
    </xf>
    <xf numFmtId="0" fontId="0" fillId="0" borderId="0" xfId="0" applyAlignment="1">
      <alignment horizontal="left"/>
    </xf>
    <xf numFmtId="0" fontId="0" fillId="0" borderId="0" xfId="0" applyFill="1" applyBorder="1" applyAlignment="1">
      <alignment horizontal="left"/>
    </xf>
    <xf numFmtId="0" fontId="0" fillId="0" borderId="71" xfId="0" applyBorder="1" applyAlignment="1">
      <alignment horizontal="center"/>
    </xf>
    <xf numFmtId="0" fontId="0" fillId="0" borderId="72" xfId="0" applyBorder="1" applyAlignment="1">
      <alignment horizontal="center"/>
    </xf>
    <xf numFmtId="0" fontId="15" fillId="0" borderId="73" xfId="0" applyFont="1" applyBorder="1" applyAlignment="1">
      <alignment horizontal="center"/>
    </xf>
    <xf numFmtId="0" fontId="0" fillId="0" borderId="0" xfId="0" applyFont="1" applyAlignment="1">
      <alignment horizontal="center" vertical="center"/>
    </xf>
    <xf numFmtId="1" fontId="0" fillId="0" borderId="0" xfId="0" applyNumberFormat="1" applyFont="1" applyFill="1" applyBorder="1" applyAlignment="1">
      <alignment horizontal="center" vertical="center"/>
    </xf>
    <xf numFmtId="0" fontId="0" fillId="0" borderId="74" xfId="0" applyBorder="1"/>
    <xf numFmtId="0" fontId="0" fillId="0" borderId="75" xfId="0" applyBorder="1" applyAlignment="1">
      <alignment horizontal="left"/>
    </xf>
    <xf numFmtId="0" fontId="0" fillId="0" borderId="7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Border="1"/>
    <xf numFmtId="0" fontId="0" fillId="0" borderId="78" xfId="0" applyBorder="1" applyAlignment="1">
      <alignment horizontal="left"/>
    </xf>
    <xf numFmtId="0" fontId="0" fillId="0" borderId="79" xfId="0" applyFont="1" applyBorder="1" applyAlignment="1">
      <alignment horizontal="center" vertical="center"/>
    </xf>
    <xf numFmtId="0" fontId="0" fillId="0" borderId="76" xfId="0" applyFont="1" applyBorder="1" applyAlignment="1">
      <alignment horizontal="center" vertical="center"/>
    </xf>
    <xf numFmtId="0" fontId="0" fillId="0" borderId="79" xfId="0" applyFont="1" applyFill="1" applyBorder="1" applyAlignment="1">
      <alignment horizontal="center" vertical="center"/>
    </xf>
    <xf numFmtId="0" fontId="0" fillId="0" borderId="0" xfId="0" applyFont="1" applyFill="1" applyBorder="1" applyAlignment="1">
      <alignment horizontal="left" vertical="center"/>
    </xf>
    <xf numFmtId="1" fontId="0" fillId="0" borderId="0" xfId="0" applyNumberFormat="1" applyFont="1" applyBorder="1" applyAlignment="1">
      <alignment horizontal="center" vertical="center"/>
    </xf>
    <xf numFmtId="0" fontId="0" fillId="0" borderId="0" xfId="0" applyBorder="1" applyAlignment="1">
      <alignment horizontal="left"/>
    </xf>
    <xf numFmtId="0" fontId="0" fillId="0" borderId="79" xfId="0" applyFill="1" applyBorder="1"/>
    <xf numFmtId="0" fontId="0" fillId="0" borderId="78" xfId="0" applyFill="1" applyBorder="1" applyAlignment="1">
      <alignment horizontal="left"/>
    </xf>
    <xf numFmtId="165" fontId="0" fillId="0" borderId="0" xfId="0" applyNumberFormat="1" applyBorder="1" applyAlignment="1">
      <alignment horizontal="center" vertical="center"/>
    </xf>
    <xf numFmtId="0" fontId="0" fillId="0" borderId="0" xfId="0" applyFill="1" applyBorder="1" applyAlignment="1">
      <alignment horizontal="center" vertical="center"/>
    </xf>
    <xf numFmtId="0" fontId="0" fillId="0" borderId="80" xfId="0" applyBorder="1"/>
    <xf numFmtId="0" fontId="0" fillId="0" borderId="81" xfId="0" applyBorder="1" applyAlignment="1">
      <alignment horizontal="left"/>
    </xf>
    <xf numFmtId="0" fontId="0" fillId="0" borderId="80" xfId="0" applyFill="1" applyBorder="1"/>
    <xf numFmtId="0" fontId="0" fillId="0" borderId="81" xfId="0" applyFill="1" applyBorder="1" applyAlignment="1">
      <alignment horizontal="left"/>
    </xf>
    <xf numFmtId="0" fontId="0" fillId="0" borderId="82" xfId="0" applyBorder="1"/>
    <xf numFmtId="0" fontId="0" fillId="0" borderId="83" xfId="0" applyBorder="1" applyAlignment="1">
      <alignment horizontal="left"/>
    </xf>
    <xf numFmtId="0" fontId="0" fillId="0" borderId="82" xfId="0" applyFont="1" applyBorder="1" applyAlignment="1">
      <alignment horizontal="center" vertical="center"/>
    </xf>
    <xf numFmtId="0" fontId="0" fillId="0" borderId="84" xfId="0" applyFont="1" applyBorder="1" applyAlignment="1">
      <alignment horizontal="center" vertical="center"/>
    </xf>
    <xf numFmtId="0" fontId="0" fillId="0" borderId="82"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6" xfId="0" applyBorder="1" applyAlignment="1">
      <alignment horizontal="center"/>
    </xf>
    <xf numFmtId="0" fontId="0" fillId="0" borderId="74" xfId="0" applyFill="1" applyBorder="1"/>
    <xf numFmtId="0" fontId="0" fillId="0" borderId="75" xfId="0" applyFill="1" applyBorder="1" applyAlignment="1">
      <alignment horizontal="left"/>
    </xf>
    <xf numFmtId="0" fontId="0" fillId="0" borderId="87" xfId="0" applyFill="1" applyBorder="1" applyAlignment="1">
      <alignment horizontal="center"/>
    </xf>
    <xf numFmtId="0" fontId="0" fillId="0" borderId="74" xfId="0" applyFont="1" applyBorder="1" applyAlignment="1">
      <alignment horizontal="center" vertical="center"/>
    </xf>
    <xf numFmtId="1" fontId="0" fillId="0" borderId="74" xfId="0" applyNumberFormat="1" applyFont="1" applyFill="1" applyBorder="1" applyAlignment="1">
      <alignment horizontal="center" vertical="center"/>
    </xf>
    <xf numFmtId="0" fontId="0" fillId="0" borderId="87" xfId="0" applyBorder="1" applyAlignment="1">
      <alignment horizontal="center"/>
    </xf>
    <xf numFmtId="1" fontId="0" fillId="0" borderId="77" xfId="0" applyNumberFormat="1" applyFont="1" applyFill="1" applyBorder="1" applyAlignment="1">
      <alignment horizontal="center" vertical="center"/>
    </xf>
    <xf numFmtId="1" fontId="0" fillId="0" borderId="78" xfId="0" applyNumberFormat="1" applyFont="1" applyFill="1" applyBorder="1" applyAlignment="1">
      <alignment horizontal="center" vertical="center"/>
    </xf>
    <xf numFmtId="0" fontId="0" fillId="0" borderId="79" xfId="0" applyFont="1" applyBorder="1" applyAlignment="1">
      <alignment horizontal="left" vertical="center"/>
    </xf>
    <xf numFmtId="0" fontId="0" fillId="0" borderId="78" xfId="0" applyFont="1" applyBorder="1" applyAlignment="1">
      <alignment horizontal="left" vertical="center"/>
    </xf>
    <xf numFmtId="0" fontId="0" fillId="0" borderId="77" xfId="0" applyFont="1" applyBorder="1" applyAlignment="1">
      <alignment horizontal="center" vertical="center"/>
    </xf>
    <xf numFmtId="0" fontId="0" fillId="0" borderId="77" xfId="0" applyFill="1" applyBorder="1" applyAlignment="1">
      <alignment horizontal="center"/>
    </xf>
    <xf numFmtId="0" fontId="0" fillId="0" borderId="77" xfId="0" applyBorder="1" applyAlignment="1">
      <alignment horizontal="center"/>
    </xf>
    <xf numFmtId="0" fontId="0" fillId="0" borderId="0" xfId="0" applyFill="1" applyBorder="1" applyAlignment="1">
      <alignment horizontal="left" vertical="center"/>
    </xf>
    <xf numFmtId="0" fontId="0" fillId="0" borderId="82" xfId="0" applyFill="1" applyBorder="1"/>
    <xf numFmtId="0" fontId="0" fillId="0" borderId="83" xfId="0" applyFill="1" applyBorder="1" applyAlignment="1">
      <alignment horizontal="left"/>
    </xf>
    <xf numFmtId="0" fontId="0" fillId="0" borderId="85" xfId="0" applyFill="1" applyBorder="1" applyAlignment="1">
      <alignment horizontal="center"/>
    </xf>
    <xf numFmtId="1" fontId="0" fillId="0" borderId="88" xfId="0" applyNumberFormat="1" applyFont="1" applyFill="1" applyBorder="1" applyAlignment="1">
      <alignment horizontal="center" vertical="center"/>
    </xf>
    <xf numFmtId="0" fontId="0" fillId="0" borderId="85" xfId="0" applyFont="1" applyBorder="1" applyAlignment="1">
      <alignment horizontal="center" vertical="center"/>
    </xf>
    <xf numFmtId="1" fontId="0" fillId="0" borderId="85" xfId="0" applyNumberFormat="1" applyFont="1" applyFill="1" applyBorder="1" applyAlignment="1">
      <alignment horizontal="center" vertical="center"/>
    </xf>
    <xf numFmtId="1" fontId="0" fillId="0" borderId="83" xfId="0" applyNumberFormat="1" applyFont="1" applyFill="1" applyBorder="1" applyAlignment="1">
      <alignment horizontal="center" vertical="center"/>
    </xf>
    <xf numFmtId="0" fontId="0" fillId="0" borderId="0" xfId="0" applyBorder="1" applyAlignment="1"/>
    <xf numFmtId="0" fontId="0" fillId="0" borderId="0" xfId="0" applyAlignment="1">
      <alignment horizontal="center"/>
    </xf>
    <xf numFmtId="0" fontId="0" fillId="0" borderId="0" xfId="0" applyBorder="1" applyAlignment="1">
      <alignment horizontal="center"/>
    </xf>
    <xf numFmtId="0" fontId="0" fillId="0" borderId="0" xfId="0" applyFont="1" applyAlignment="1"/>
    <xf numFmtId="0" fontId="31" fillId="0" borderId="0" xfId="0" applyFont="1" applyAlignment="1"/>
    <xf numFmtId="0" fontId="31" fillId="0" borderId="0" xfId="0" applyFont="1"/>
    <xf numFmtId="0" fontId="32" fillId="0" borderId="0" xfId="0" applyFont="1" applyAlignment="1"/>
    <xf numFmtId="0" fontId="31" fillId="17" borderId="0" xfId="0" applyFont="1" applyFill="1" applyAlignment="1"/>
    <xf numFmtId="0" fontId="31" fillId="18" borderId="0" xfId="0" applyFont="1" applyFill="1" applyAlignment="1"/>
    <xf numFmtId="0" fontId="31" fillId="19" borderId="0" xfId="0" applyFont="1" applyFill="1" applyAlignment="1"/>
    <xf numFmtId="0" fontId="31" fillId="20" borderId="0" xfId="0" applyFont="1" applyFill="1" applyAlignment="1"/>
    <xf numFmtId="0" fontId="32" fillId="21" borderId="0" xfId="0" applyFont="1" applyFill="1" applyAlignment="1"/>
    <xf numFmtId="0" fontId="32" fillId="22" borderId="0" xfId="0" applyFont="1" applyFill="1" applyAlignment="1"/>
    <xf numFmtId="0" fontId="32" fillId="23" borderId="0" xfId="0" applyFont="1" applyFill="1" applyAlignment="1"/>
    <xf numFmtId="0" fontId="32" fillId="24" borderId="0" xfId="0" applyFont="1" applyFill="1" applyAlignment="1"/>
    <xf numFmtId="0" fontId="32" fillId="24" borderId="0" xfId="0" applyFont="1" applyFill="1"/>
    <xf numFmtId="0" fontId="32" fillId="0" borderId="0" xfId="0" applyFont="1"/>
    <xf numFmtId="0" fontId="32" fillId="23" borderId="0" xfId="0" applyFont="1" applyFill="1"/>
    <xf numFmtId="0" fontId="20" fillId="0" borderId="0" xfId="0" applyFont="1" applyAlignment="1"/>
    <xf numFmtId="0" fontId="20" fillId="0" borderId="0" xfId="0" applyFont="1"/>
    <xf numFmtId="0" fontId="1" fillId="0" borderId="0" xfId="0" applyFont="1"/>
    <xf numFmtId="0" fontId="1" fillId="0" borderId="0" xfId="0" applyFont="1" applyAlignment="1"/>
    <xf numFmtId="0" fontId="32" fillId="0" borderId="89" xfId="0" applyFont="1" applyBorder="1"/>
    <xf numFmtId="0" fontId="32" fillId="0" borderId="89" xfId="0" applyFont="1" applyBorder="1" applyAlignment="1"/>
    <xf numFmtId="0" fontId="0" fillId="0" borderId="0" xfId="0" applyBorder="1" applyAlignment="1">
      <alignment horizontal="center"/>
    </xf>
    <xf numFmtId="0" fontId="0" fillId="0" borderId="0" xfId="0" applyAlignment="1">
      <alignment horizontal="left" vertical="center"/>
    </xf>
    <xf numFmtId="0" fontId="33" fillId="0" borderId="0" xfId="0" applyFont="1" applyAlignment="1">
      <alignment horizontal="left" vertical="center"/>
    </xf>
    <xf numFmtId="164" fontId="0" fillId="0" borderId="0" xfId="0" applyNumberFormat="1" applyAlignment="1">
      <alignment horizontal="center" vertical="center"/>
    </xf>
    <xf numFmtId="0" fontId="0" fillId="0" borderId="73" xfId="0" applyBorder="1" applyAlignment="1">
      <alignment horizontal="center" vertical="center"/>
    </xf>
    <xf numFmtId="164" fontId="0" fillId="0" borderId="0" xfId="0" applyNumberFormat="1" applyBorder="1" applyAlignment="1">
      <alignment horizontal="center" vertical="center"/>
    </xf>
    <xf numFmtId="0" fontId="0" fillId="0" borderId="73" xfId="0" applyFill="1" applyBorder="1" applyAlignment="1">
      <alignment horizontal="center" vertical="center"/>
    </xf>
    <xf numFmtId="0" fontId="0" fillId="13" borderId="3" xfId="0" applyFill="1" applyBorder="1" applyAlignment="1">
      <alignment horizontal="center" vertical="center"/>
    </xf>
    <xf numFmtId="0" fontId="0" fillId="13" borderId="90" xfId="0" applyFill="1" applyBorder="1" applyAlignment="1">
      <alignment horizontal="center" vertical="center"/>
    </xf>
    <xf numFmtId="0" fontId="0" fillId="13" borderId="91" xfId="0" applyFill="1" applyBorder="1" applyAlignment="1">
      <alignment horizontal="center" vertical="center"/>
    </xf>
    <xf numFmtId="0" fontId="0" fillId="0" borderId="0" xfId="0" applyFill="1" applyAlignment="1">
      <alignment horizontal="center" vertical="center"/>
    </xf>
    <xf numFmtId="164" fontId="0" fillId="0" borderId="0" xfId="0" applyNumberFormat="1" applyFill="1" applyAlignment="1">
      <alignment horizontal="center" vertical="center"/>
    </xf>
    <xf numFmtId="0" fontId="0" fillId="0" borderId="3" xfId="0" applyBorder="1" applyAlignment="1">
      <alignment horizontal="center" vertical="center"/>
    </xf>
    <xf numFmtId="0" fontId="0" fillId="0" borderId="90" xfId="0" applyFill="1" applyBorder="1" applyAlignment="1">
      <alignment horizontal="center" vertical="center"/>
    </xf>
    <xf numFmtId="0" fontId="0" fillId="0" borderId="91" xfId="0" applyFill="1" applyBorder="1" applyAlignment="1">
      <alignment horizontal="center" vertical="center"/>
    </xf>
    <xf numFmtId="0" fontId="34" fillId="25" borderId="51" xfId="0" applyFont="1" applyFill="1" applyBorder="1" applyAlignment="1">
      <alignment horizontal="center" vertical="center"/>
    </xf>
    <xf numFmtId="0" fontId="0" fillId="0" borderId="50" xfId="0" applyFill="1" applyBorder="1" applyAlignment="1">
      <alignment horizontal="center" vertical="center"/>
    </xf>
    <xf numFmtId="0" fontId="0" fillId="26" borderId="51" xfId="0" applyFill="1" applyBorder="1" applyAlignment="1">
      <alignment horizontal="center"/>
    </xf>
    <xf numFmtId="0" fontId="0" fillId="13" borderId="51" xfId="0" applyFill="1" applyBorder="1" applyAlignment="1">
      <alignment horizontal="center" vertical="center"/>
    </xf>
    <xf numFmtId="0" fontId="0" fillId="13" borderId="50" xfId="0" applyFill="1" applyBorder="1" applyAlignment="1">
      <alignment horizontal="center" vertical="center"/>
    </xf>
    <xf numFmtId="0" fontId="34" fillId="0" borderId="51" xfId="0" applyFont="1" applyFill="1" applyBorder="1" applyAlignment="1">
      <alignment horizontal="center" vertical="center"/>
    </xf>
    <xf numFmtId="0" fontId="0" fillId="26" borderId="51" xfId="0" applyFont="1" applyFill="1" applyBorder="1" applyAlignment="1">
      <alignment horizontal="center" vertical="center"/>
    </xf>
    <xf numFmtId="0" fontId="0" fillId="25" borderId="51" xfId="0" applyFill="1" applyBorder="1" applyAlignment="1">
      <alignment horizontal="center" vertical="center"/>
    </xf>
    <xf numFmtId="0" fontId="0" fillId="26" borderId="51" xfId="0" applyFill="1" applyBorder="1" applyAlignment="1">
      <alignment horizontal="center" vertical="center"/>
    </xf>
    <xf numFmtId="0" fontId="0" fillId="0" borderId="51" xfId="0" applyFill="1" applyBorder="1" applyAlignment="1">
      <alignment horizontal="center" vertical="center"/>
    </xf>
    <xf numFmtId="0" fontId="0" fillId="27" borderId="3" xfId="0" applyFill="1" applyBorder="1" applyAlignment="1">
      <alignment horizontal="center" vertical="center"/>
    </xf>
    <xf numFmtId="0" fontId="0" fillId="27" borderId="51" xfId="0" applyFill="1" applyBorder="1" applyAlignment="1">
      <alignment horizontal="center" vertical="center"/>
    </xf>
    <xf numFmtId="0" fontId="0" fillId="27" borderId="50" xfId="0" applyFill="1" applyBorder="1" applyAlignment="1">
      <alignment horizontal="center" vertical="center"/>
    </xf>
    <xf numFmtId="0" fontId="0" fillId="25" borderId="50" xfId="0" applyFill="1" applyBorder="1" applyAlignment="1">
      <alignment horizontal="center" vertical="center"/>
    </xf>
    <xf numFmtId="0" fontId="0" fillId="0" borderId="92" xfId="0" applyFill="1" applyBorder="1" applyAlignment="1">
      <alignment horizontal="center" vertical="center"/>
    </xf>
    <xf numFmtId="0" fontId="0" fillId="4" borderId="51" xfId="0" applyFill="1" applyBorder="1" applyAlignment="1">
      <alignment horizontal="center" vertical="center"/>
    </xf>
    <xf numFmtId="0" fontId="0" fillId="28" borderId="3" xfId="0" applyFill="1" applyBorder="1" applyAlignment="1">
      <alignment horizontal="center" vertical="center"/>
    </xf>
    <xf numFmtId="0" fontId="0" fillId="28" borderId="51" xfId="0" applyFill="1" applyBorder="1" applyAlignment="1">
      <alignment horizontal="center" vertical="center"/>
    </xf>
    <xf numFmtId="0" fontId="0" fillId="28" borderId="50" xfId="0" applyFill="1" applyBorder="1" applyAlignment="1">
      <alignment horizontal="center" vertical="center"/>
    </xf>
    <xf numFmtId="0" fontId="0" fillId="0" borderId="51" xfId="0" applyFill="1" applyBorder="1" applyAlignment="1">
      <alignment horizontal="center"/>
    </xf>
    <xf numFmtId="0" fontId="0" fillId="4" borderId="3" xfId="0" applyFill="1" applyBorder="1" applyAlignment="1">
      <alignment horizontal="center" vertical="center"/>
    </xf>
    <xf numFmtId="0" fontId="0" fillId="4" borderId="50" xfId="0" applyFill="1" applyBorder="1" applyAlignment="1">
      <alignment horizontal="center" vertical="center"/>
    </xf>
    <xf numFmtId="0" fontId="0" fillId="0" borderId="3" xfId="0" applyFill="1" applyBorder="1" applyAlignment="1">
      <alignment horizontal="center" vertical="center"/>
    </xf>
    <xf numFmtId="0" fontId="0" fillId="26" borderId="0" xfId="0" applyFill="1" applyAlignment="1">
      <alignment horizontal="center" vertical="center"/>
    </xf>
    <xf numFmtId="0" fontId="0" fillId="0" borderId="50" xfId="0" applyFont="1" applyFill="1" applyBorder="1" applyAlignment="1">
      <alignment horizontal="center" vertical="center"/>
    </xf>
    <xf numFmtId="0" fontId="0" fillId="25" borderId="0" xfId="0" applyFill="1" applyAlignment="1">
      <alignment horizontal="center" vertical="center"/>
    </xf>
    <xf numFmtId="0" fontId="0" fillId="0" borderId="28" xfId="0" applyFill="1" applyBorder="1" applyAlignment="1">
      <alignment horizontal="center" vertical="center"/>
    </xf>
    <xf numFmtId="0" fontId="0" fillId="0" borderId="93" xfId="0" applyFill="1" applyBorder="1" applyAlignment="1">
      <alignment horizontal="center" vertical="center"/>
    </xf>
    <xf numFmtId="0" fontId="34" fillId="0" borderId="50" xfId="0" applyFont="1" applyFill="1" applyBorder="1" applyAlignment="1">
      <alignment horizontal="center" vertical="center"/>
    </xf>
    <xf numFmtId="0" fontId="0" fillId="0" borderId="59" xfId="0" applyFill="1" applyBorder="1" applyAlignment="1">
      <alignment horizontal="center" vertical="center"/>
    </xf>
    <xf numFmtId="0" fontId="0" fillId="0" borderId="94" xfId="0" applyFill="1" applyBorder="1" applyAlignment="1">
      <alignment horizontal="center" vertical="center"/>
    </xf>
    <xf numFmtId="0" fontId="0" fillId="0" borderId="59" xfId="0" applyBorder="1" applyAlignment="1">
      <alignment horizontal="center" vertical="center"/>
    </xf>
    <xf numFmtId="0" fontId="35" fillId="0" borderId="0" xfId="0" applyFont="1" applyBorder="1" applyAlignment="1">
      <alignment horizontal="center" vertical="center"/>
    </xf>
    <xf numFmtId="0" fontId="35" fillId="0" borderId="0" xfId="0" applyFont="1" applyFill="1" applyBorder="1" applyAlignment="1">
      <alignment horizontal="center" vertical="center"/>
    </xf>
    <xf numFmtId="0" fontId="0" fillId="25" borderId="90" xfId="0" applyFill="1" applyBorder="1" applyAlignment="1">
      <alignment horizontal="center" vertical="center"/>
    </xf>
    <xf numFmtId="164" fontId="0" fillId="0" borderId="0" xfId="0" applyNumberFormat="1" applyFill="1" applyBorder="1" applyAlignment="1">
      <alignment horizontal="center" vertical="center"/>
    </xf>
    <xf numFmtId="0" fontId="0" fillId="13" borderId="0" xfId="0" applyFill="1" applyBorder="1" applyAlignment="1">
      <alignment horizontal="center" vertical="center"/>
    </xf>
    <xf numFmtId="164" fontId="0" fillId="13" borderId="0" xfId="0" applyNumberFormat="1" applyFill="1" applyBorder="1" applyAlignment="1">
      <alignment horizontal="center" vertical="center"/>
    </xf>
    <xf numFmtId="0" fontId="34" fillId="13" borderId="50" xfId="0" applyFont="1" applyFill="1" applyBorder="1" applyAlignment="1">
      <alignment horizontal="center" vertical="center"/>
    </xf>
    <xf numFmtId="0" fontId="34" fillId="27" borderId="50" xfId="0" applyFont="1" applyFill="1" applyBorder="1" applyAlignment="1">
      <alignment horizontal="center" vertical="center"/>
    </xf>
    <xf numFmtId="0" fontId="0" fillId="27" borderId="0" xfId="0" applyFill="1" applyBorder="1" applyAlignment="1">
      <alignment horizontal="center" vertical="center"/>
    </xf>
    <xf numFmtId="164" fontId="0" fillId="27" borderId="0" xfId="0" applyNumberFormat="1" applyFill="1" applyBorder="1" applyAlignment="1">
      <alignment horizontal="center" vertical="center"/>
    </xf>
    <xf numFmtId="0" fontId="0" fillId="27" borderId="50" xfId="0" applyFont="1" applyFill="1" applyBorder="1" applyAlignment="1">
      <alignment horizontal="center" vertical="center"/>
    </xf>
    <xf numFmtId="0" fontId="0" fillId="28" borderId="0" xfId="0" applyFill="1" applyBorder="1" applyAlignment="1">
      <alignment horizontal="center" vertical="center"/>
    </xf>
    <xf numFmtId="164" fontId="0" fillId="28" borderId="0" xfId="0" applyNumberFormat="1" applyFill="1" applyBorder="1" applyAlignment="1">
      <alignment horizontal="center" vertical="center"/>
    </xf>
    <xf numFmtId="16" fontId="0" fillId="0" borderId="0" xfId="0" applyNumberFormat="1" applyFill="1" applyAlignment="1">
      <alignment horizontal="center" vertical="center"/>
    </xf>
    <xf numFmtId="0" fontId="34" fillId="27" borderId="0" xfId="0" applyFont="1" applyFill="1" applyAlignment="1">
      <alignment horizontal="center" vertical="center"/>
    </xf>
    <xf numFmtId="0" fontId="36" fillId="0" borderId="0" xfId="0" applyFont="1" applyAlignment="1">
      <alignment horizontal="center" vertical="center"/>
    </xf>
    <xf numFmtId="0" fontId="36" fillId="0" borderId="0" xfId="0" applyFont="1" applyBorder="1" applyAlignment="1">
      <alignment horizontal="center" vertical="center"/>
    </xf>
    <xf numFmtId="0" fontId="36" fillId="0" borderId="0" xfId="0" applyFont="1" applyFill="1" applyBorder="1" applyAlignment="1">
      <alignment horizontal="center" vertical="center"/>
    </xf>
    <xf numFmtId="0" fontId="6" fillId="0" borderId="20" xfId="0" applyFont="1" applyBorder="1" applyAlignment="1">
      <alignment horizontal="center" vertical="center"/>
    </xf>
    <xf numFmtId="0" fontId="14" fillId="0" borderId="0" xfId="0" applyFont="1" applyAlignment="1">
      <alignment horizontal="center"/>
    </xf>
    <xf numFmtId="0" fontId="0" fillId="0" borderId="0" xfId="0" applyFont="1" applyAlignment="1">
      <alignment horizontal="center"/>
    </xf>
    <xf numFmtId="0" fontId="0" fillId="0" borderId="31" xfId="0" applyFont="1" applyBorder="1" applyAlignment="1">
      <alignment horizontal="center"/>
    </xf>
    <xf numFmtId="0" fontId="14" fillId="0" borderId="30" xfId="0" applyFont="1" applyBorder="1" applyAlignment="1">
      <alignment horizontal="center"/>
    </xf>
    <xf numFmtId="0" fontId="14" fillId="0" borderId="59" xfId="0" applyFont="1" applyBorder="1" applyAlignment="1">
      <alignment horizontal="center"/>
    </xf>
    <xf numFmtId="0" fontId="14" fillId="0" borderId="47" xfId="0" applyFont="1" applyBorder="1" applyAlignment="1">
      <alignment horizontal="center"/>
    </xf>
    <xf numFmtId="0" fontId="14" fillId="0" borderId="30" xfId="0" applyFont="1" applyFill="1" applyBorder="1" applyAlignment="1">
      <alignment horizontal="center"/>
    </xf>
    <xf numFmtId="0" fontId="14" fillId="0" borderId="59" xfId="0" applyFont="1" applyFill="1" applyBorder="1" applyAlignment="1">
      <alignment horizontal="center"/>
    </xf>
    <xf numFmtId="0" fontId="14" fillId="0" borderId="47" xfId="0" applyFont="1" applyFill="1" applyBorder="1" applyAlignment="1">
      <alignment horizontal="center"/>
    </xf>
    <xf numFmtId="0" fontId="14" fillId="4" borderId="30" xfId="0" applyFont="1" applyFill="1" applyBorder="1" applyAlignment="1">
      <alignment horizontal="center"/>
    </xf>
    <xf numFmtId="0" fontId="14" fillId="4" borderId="59" xfId="0" applyFont="1" applyFill="1" applyBorder="1" applyAlignment="1">
      <alignment horizontal="center"/>
    </xf>
    <xf numFmtId="0" fontId="14" fillId="4" borderId="47" xfId="0" applyFont="1" applyFill="1" applyBorder="1" applyAlignment="1">
      <alignment horizontal="center"/>
    </xf>
    <xf numFmtId="0" fontId="0" fillId="0" borderId="0" xfId="0" applyAlignment="1">
      <alignment horizontal="center"/>
    </xf>
    <xf numFmtId="0" fontId="0" fillId="0" borderId="22"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30" fillId="0" borderId="0" xfId="0" applyFont="1" applyAlignment="1">
      <alignment horizontal="left"/>
    </xf>
    <xf numFmtId="0" fontId="0" fillId="0" borderId="0" xfId="0" applyAlignment="1"/>
    <xf numFmtId="0" fontId="15" fillId="0" borderId="71" xfId="0" applyFont="1" applyBorder="1" applyAlignment="1">
      <alignment horizontal="center"/>
    </xf>
    <xf numFmtId="0" fontId="0" fillId="0" borderId="72" xfId="0" applyBorder="1" applyAlignment="1">
      <alignment horizontal="center"/>
    </xf>
    <xf numFmtId="0" fontId="0" fillId="0" borderId="0" xfId="0" applyFill="1" applyBorder="1" applyAlignment="1">
      <alignment horizontal="left"/>
    </xf>
    <xf numFmtId="0" fontId="0" fillId="0" borderId="0" xfId="0" applyBorder="1" applyAlignment="1">
      <alignment horizontal="center"/>
    </xf>
    <xf numFmtId="0" fontId="12" fillId="0" borderId="19" xfId="0" applyFont="1" applyFill="1" applyBorder="1" applyAlignment="1">
      <alignment horizontal="center" vertical="center"/>
    </xf>
    <xf numFmtId="0" fontId="6" fillId="0" borderId="19" xfId="7" applyFont="1" applyFill="1" applyBorder="1" applyAlignment="1">
      <alignment horizontal="center" vertical="center"/>
    </xf>
  </cellXfs>
  <cellStyles count="1311">
    <cellStyle name="Followed Hyperlink" xfId="2" builtinId="9" hidden="1"/>
    <cellStyle name="Followed Hyperlink" xfId="4" builtinId="9" hidden="1"/>
    <cellStyle name="Followed Hyperlink" xfId="6"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Hyperlink" xfId="1" builtinId="8" hidden="1"/>
    <cellStyle name="Hyperlink" xfId="3" builtinId="8" hidden="1"/>
    <cellStyle name="Hyperlink" xfId="5"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Normal" xfId="0" builtinId="0"/>
    <cellStyle name="Normal_Sheet1" xfId="7"/>
    <cellStyle name="Normal_SR A &amp; B" xfId="8"/>
  </cellStyles>
  <dxfs count="156">
    <dxf>
      <font>
        <b/>
        <i val="0"/>
        <color rgb="FFC00000"/>
      </font>
    </dxf>
    <dxf>
      <font>
        <b/>
        <i val="0"/>
        <color rgb="FFC00000"/>
      </font>
    </dxf>
    <dxf>
      <font>
        <b/>
        <i val="0"/>
        <color rgb="FFC00000"/>
      </font>
    </dxf>
    <dxf>
      <fill>
        <patternFill>
          <bgColor theme="3" tint="0.79998168889431442"/>
        </patternFill>
      </fill>
    </dxf>
    <dxf>
      <fill>
        <patternFill>
          <bgColor theme="6" tint="0.39994506668294322"/>
        </patternFill>
      </fill>
    </dxf>
    <dxf>
      <fill>
        <patternFill>
          <bgColor theme="9" tint="0.39994506668294322"/>
        </patternFill>
      </fill>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ill>
        <patternFill>
          <bgColor theme="3" tint="0.79998168889431442"/>
        </patternFill>
      </fill>
    </dxf>
    <dxf>
      <fill>
        <patternFill>
          <bgColor theme="6" tint="0.39994506668294322"/>
        </patternFill>
      </fill>
    </dxf>
    <dxf>
      <fill>
        <patternFill>
          <bgColor theme="9" tint="0.39994506668294322"/>
        </patternFill>
      </fill>
    </dxf>
    <dxf>
      <font>
        <color theme="0"/>
      </font>
    </dxf>
    <dxf>
      <fill>
        <patternFill>
          <bgColor theme="3" tint="0.79998168889431442"/>
        </patternFill>
      </fill>
    </dxf>
    <dxf>
      <fill>
        <patternFill>
          <bgColor theme="6" tint="0.39994506668294322"/>
        </patternFill>
      </fill>
    </dxf>
    <dxf>
      <fill>
        <patternFill>
          <bgColor theme="9" tint="0.3999450666829432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externalLink" Target="externalLinks/externalLink1.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han/Dropbox/Documents/Coding/NCA%20Site/NCA%20v1/results/Season11/2018%20Belleville%20Crokinole%20Challenge%20Results%20FINAL.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gistrationAndResults"/>
      <sheetName val="SortAMResults"/>
      <sheetName val="ShowAMResults"/>
      <sheetName val="SortPMResults"/>
      <sheetName val="ShowPMResults"/>
      <sheetName val="FinalResultsSummary"/>
    </sheetNames>
    <sheetDataSet>
      <sheetData sheetId="0" refreshError="1"/>
      <sheetData sheetId="1">
        <row r="3">
          <cell r="C3" t="str">
            <v>Fred Slater</v>
          </cell>
        </row>
      </sheetData>
      <sheetData sheetId="2"/>
      <sheetData sheetId="3">
        <row r="4">
          <cell r="C4" t="str">
            <v>Jason Beierling</v>
          </cell>
        </row>
        <row r="42">
          <cell r="C42" t="str">
            <v/>
          </cell>
          <cell r="D42" t="str">
            <v/>
          </cell>
          <cell r="E42" t="str">
            <v>X</v>
          </cell>
          <cell r="F42" t="str">
            <v/>
          </cell>
          <cell r="G42" t="str">
            <v/>
          </cell>
          <cell r="H42" t="str">
            <v/>
          </cell>
          <cell r="I42" t="str">
            <v/>
          </cell>
          <cell r="J42" t="str">
            <v/>
          </cell>
        </row>
        <row r="43">
          <cell r="C43" t="str">
            <v/>
          </cell>
          <cell r="D43" t="str">
            <v/>
          </cell>
          <cell r="E43" t="str">
            <v>X</v>
          </cell>
          <cell r="F43" t="str">
            <v/>
          </cell>
          <cell r="G43" t="str">
            <v/>
          </cell>
          <cell r="H43" t="str">
            <v/>
          </cell>
          <cell r="I43" t="str">
            <v/>
          </cell>
          <cell r="J43" t="str">
            <v/>
          </cell>
        </row>
        <row r="44">
          <cell r="C44" t="str">
            <v/>
          </cell>
          <cell r="D44" t="str">
            <v/>
          </cell>
          <cell r="E44" t="str">
            <v>X</v>
          </cell>
          <cell r="F44" t="str">
            <v/>
          </cell>
          <cell r="G44" t="str">
            <v/>
          </cell>
          <cell r="H44" t="str">
            <v/>
          </cell>
          <cell r="I44" t="str">
            <v/>
          </cell>
          <cell r="J44" t="str">
            <v/>
          </cell>
        </row>
        <row r="45">
          <cell r="C45" t="str">
            <v/>
          </cell>
          <cell r="D45" t="str">
            <v/>
          </cell>
          <cell r="E45" t="str">
            <v>X</v>
          </cell>
          <cell r="F45" t="str">
            <v/>
          </cell>
          <cell r="G45" t="str">
            <v/>
          </cell>
          <cell r="H45" t="str">
            <v/>
          </cell>
          <cell r="I45" t="str">
            <v/>
          </cell>
          <cell r="J45" t="str">
            <v/>
          </cell>
        </row>
        <row r="46">
          <cell r="C46" t="str">
            <v/>
          </cell>
          <cell r="D46" t="str">
            <v/>
          </cell>
          <cell r="E46" t="str">
            <v>X</v>
          </cell>
          <cell r="F46" t="str">
            <v/>
          </cell>
          <cell r="G46" t="str">
            <v/>
          </cell>
          <cell r="H46" t="str">
            <v/>
          </cell>
          <cell r="I46" t="str">
            <v/>
          </cell>
          <cell r="J46" t="str">
            <v/>
          </cell>
        </row>
        <row r="47">
          <cell r="C47" t="str">
            <v/>
          </cell>
          <cell r="D47" t="str">
            <v/>
          </cell>
          <cell r="E47" t="str">
            <v>X</v>
          </cell>
          <cell r="F47" t="str">
            <v/>
          </cell>
          <cell r="G47" t="str">
            <v/>
          </cell>
          <cell r="H47" t="str">
            <v/>
          </cell>
          <cell r="I47" t="str">
            <v/>
          </cell>
          <cell r="J47" t="str">
            <v/>
          </cell>
        </row>
        <row r="48">
          <cell r="C48" t="str">
            <v/>
          </cell>
          <cell r="D48" t="str">
            <v/>
          </cell>
          <cell r="E48" t="str">
            <v>X</v>
          </cell>
          <cell r="F48" t="str">
            <v/>
          </cell>
          <cell r="G48" t="str">
            <v/>
          </cell>
          <cell r="H48" t="str">
            <v/>
          </cell>
          <cell r="I48" t="str">
            <v/>
          </cell>
          <cell r="J48" t="str">
            <v/>
          </cell>
        </row>
        <row r="49">
          <cell r="C49" t="str">
            <v/>
          </cell>
          <cell r="D49" t="str">
            <v/>
          </cell>
          <cell r="E49" t="str">
            <v>X</v>
          </cell>
          <cell r="F49" t="str">
            <v/>
          </cell>
          <cell r="G49" t="str">
            <v/>
          </cell>
          <cell r="H49" t="str">
            <v/>
          </cell>
          <cell r="I49" t="str">
            <v/>
          </cell>
          <cell r="J49" t="str">
            <v/>
          </cell>
        </row>
        <row r="50">
          <cell r="C50" t="str">
            <v/>
          </cell>
          <cell r="D50" t="str">
            <v/>
          </cell>
          <cell r="E50" t="str">
            <v>X</v>
          </cell>
          <cell r="F50" t="str">
            <v/>
          </cell>
          <cell r="G50" t="str">
            <v/>
          </cell>
          <cell r="H50" t="str">
            <v/>
          </cell>
          <cell r="I50" t="str">
            <v/>
          </cell>
          <cell r="J50" t="str">
            <v/>
          </cell>
        </row>
        <row r="51">
          <cell r="C51" t="str">
            <v/>
          </cell>
          <cell r="D51" t="str">
            <v/>
          </cell>
          <cell r="E51" t="str">
            <v>X</v>
          </cell>
          <cell r="F51" t="str">
            <v/>
          </cell>
          <cell r="G51" t="str">
            <v/>
          </cell>
          <cell r="H51" t="str">
            <v/>
          </cell>
          <cell r="I51" t="str">
            <v/>
          </cell>
          <cell r="J51" t="str">
            <v/>
          </cell>
        </row>
        <row r="52">
          <cell r="C52" t="str">
            <v/>
          </cell>
          <cell r="D52" t="str">
            <v/>
          </cell>
          <cell r="E52" t="str">
            <v>X</v>
          </cell>
          <cell r="F52" t="str">
            <v/>
          </cell>
          <cell r="G52" t="str">
            <v/>
          </cell>
          <cell r="H52" t="str">
            <v/>
          </cell>
          <cell r="I52" t="str">
            <v/>
          </cell>
          <cell r="J52" t="str">
            <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4"/>
  <sheetViews>
    <sheetView zoomScale="80" zoomScaleNormal="80" zoomScalePageLayoutView="80" workbookViewId="0">
      <selection activeCell="G25" sqref="G25"/>
    </sheetView>
  </sheetViews>
  <sheetFormatPr baseColWidth="10" defaultColWidth="15.5" defaultRowHeight="15" x14ac:dyDescent="0"/>
  <cols>
    <col min="1" max="1" width="7.5" style="5" customWidth="1"/>
    <col min="2" max="2" width="28.1640625" style="5" customWidth="1"/>
    <col min="3" max="3" width="11.5" style="5" customWidth="1"/>
    <col min="4" max="4" width="9.33203125" style="5" customWidth="1"/>
    <col min="5" max="5" width="9" style="5" customWidth="1"/>
    <col min="6" max="6" width="15.33203125" style="5" customWidth="1"/>
    <col min="7" max="7" width="22.33203125" style="5" bestFit="1" customWidth="1"/>
    <col min="8" max="8" width="15.83203125" style="5" customWidth="1"/>
    <col min="9" max="9" width="9.5" style="5" customWidth="1"/>
    <col min="10" max="10" width="12.5" style="5" customWidth="1"/>
    <col min="11" max="11" width="13" style="5" customWidth="1"/>
    <col min="12" max="12" width="12.83203125" style="5" customWidth="1"/>
    <col min="13" max="13" width="15.5" style="5" customWidth="1"/>
    <col min="14" max="14" width="2.5" style="5" customWidth="1"/>
    <col min="15" max="15" width="9.5" style="5" customWidth="1"/>
    <col min="16" max="16" width="6.83203125" style="5" customWidth="1"/>
    <col min="17" max="17" width="3" style="5" customWidth="1"/>
    <col min="18" max="16384" width="15.5" style="5"/>
  </cols>
  <sheetData>
    <row r="1" spans="1:26" ht="23">
      <c r="B1" s="7" t="s">
        <v>180</v>
      </c>
      <c r="D1" s="8"/>
      <c r="E1" s="8"/>
      <c r="F1" s="8"/>
      <c r="G1" s="8"/>
      <c r="H1" s="8"/>
      <c r="I1" s="8"/>
      <c r="J1" s="8"/>
      <c r="K1" s="8"/>
      <c r="L1" s="8"/>
      <c r="M1" s="8"/>
      <c r="O1" s="8"/>
      <c r="R1" s="8"/>
    </row>
    <row r="2" spans="1:26" ht="23.25" customHeight="1">
      <c r="B2" s="9" t="s">
        <v>17</v>
      </c>
      <c r="F2" s="10" t="s">
        <v>18</v>
      </c>
      <c r="G2" s="10"/>
      <c r="H2" s="10" t="s">
        <v>19</v>
      </c>
      <c r="K2" s="10"/>
      <c r="L2" s="10"/>
      <c r="M2" s="11"/>
      <c r="O2" s="8"/>
      <c r="Q2" s="8"/>
      <c r="R2" s="8"/>
    </row>
    <row r="3" spans="1:26" ht="23.25" customHeight="1" thickBot="1">
      <c r="B3" s="12"/>
      <c r="D3" s="10" t="s">
        <v>25</v>
      </c>
      <c r="E3" s="10" t="s">
        <v>24</v>
      </c>
      <c r="F3" s="10" t="s">
        <v>24</v>
      </c>
      <c r="G3" s="10" t="s">
        <v>25</v>
      </c>
      <c r="H3" s="10" t="s">
        <v>25</v>
      </c>
      <c r="I3" s="10" t="s">
        <v>24</v>
      </c>
      <c r="J3" s="10" t="s">
        <v>24</v>
      </c>
      <c r="K3" s="10" t="s">
        <v>24</v>
      </c>
      <c r="L3" s="10" t="s">
        <v>25</v>
      </c>
      <c r="M3" s="10" t="s">
        <v>24</v>
      </c>
      <c r="O3" s="8"/>
      <c r="Q3" s="8"/>
      <c r="R3" s="8"/>
    </row>
    <row r="4" spans="1:26" s="8" customFormat="1" ht="23.25" customHeight="1" thickTop="1" thickBot="1">
      <c r="A4" s="13" t="s">
        <v>9</v>
      </c>
      <c r="B4" s="13" t="s">
        <v>13</v>
      </c>
      <c r="C4" s="13" t="s">
        <v>10</v>
      </c>
      <c r="D4" s="13" t="s">
        <v>179</v>
      </c>
      <c r="E4" s="13" t="s">
        <v>179</v>
      </c>
      <c r="F4" s="13" t="s">
        <v>20</v>
      </c>
      <c r="G4" s="13" t="s">
        <v>12</v>
      </c>
      <c r="H4" s="13" t="s">
        <v>26</v>
      </c>
      <c r="I4" s="13" t="s">
        <v>381</v>
      </c>
      <c r="J4" s="13" t="s">
        <v>382</v>
      </c>
      <c r="K4" s="13" t="s">
        <v>11</v>
      </c>
      <c r="L4" s="13" t="s">
        <v>183</v>
      </c>
      <c r="M4" s="13" t="s">
        <v>476</v>
      </c>
      <c r="N4" s="14"/>
      <c r="O4" s="13" t="s">
        <v>0</v>
      </c>
      <c r="P4" s="13" t="s">
        <v>14</v>
      </c>
      <c r="Q4" s="10"/>
    </row>
    <row r="5" spans="1:26" s="8" customFormat="1" ht="18.75" customHeight="1" thickTop="1" thickBot="1">
      <c r="A5" s="15">
        <f>RANK(O5,O$5:O$197)</f>
        <v>1</v>
      </c>
      <c r="B5" s="16" t="s">
        <v>34</v>
      </c>
      <c r="C5" s="17">
        <f>COUNT(D5:M5)</f>
        <v>7</v>
      </c>
      <c r="D5" s="116">
        <f>IFERROR(VLOOKUP($B5,'NCA Players Doubles'!$Z:$AB,3,FALSE),IFERROR(VLOOKUP($B5,'NCA Players Doubles'!$AA:$AB,2,FALSE),""))</f>
        <v>45</v>
      </c>
      <c r="E5" s="4">
        <f>IFERROR(VLOOKUP($B5,'NCA Players Singles'!$V:$W,2,FALSE),"")</f>
        <v>50</v>
      </c>
      <c r="F5" s="4" t="str">
        <f>IFERROR(VLOOKUP($B5,Belleville!$U:$V,2,FALSE),"")</f>
        <v/>
      </c>
      <c r="G5" s="187">
        <f>IFERROR(VLOOKUP($B5,'Owen Sound'!$Z:$AA,2,FALSE),"")</f>
        <v>50</v>
      </c>
      <c r="H5" s="187" t="str">
        <f>IFERROR(VLOOKUP($B5,ODCC!O:P,2,FALSE),"")</f>
        <v/>
      </c>
      <c r="I5" s="187">
        <f>IFERROR(VLOOKUP($B5,Elmira!S:T,2,FALSE),"")</f>
        <v>50</v>
      </c>
      <c r="J5" s="187">
        <f>IFERROR(VLOOKUP($B5,Chatham!K:L,2,FALSE),"")</f>
        <v>47</v>
      </c>
      <c r="K5" s="187">
        <f>IFERROR(VLOOKUP($B5,London!AM:AN,2,FALSE),"")</f>
        <v>43</v>
      </c>
      <c r="L5" s="187" t="str">
        <f>IFERROR(VLOOKUP($B5,'US Open'!A:B,2,FALSE),"")</f>
        <v/>
      </c>
      <c r="M5" s="25">
        <f>IFERROR(VLOOKUP($B5,'Ontario Singles'!A:B,2,FALSE),"")</f>
        <v>45</v>
      </c>
      <c r="N5" s="10"/>
      <c r="O5" s="19">
        <f>IFERROR(LARGE(D5:M5,1),0)+IFERROR(LARGE(D5:M5,2),0)+IFERROR(LARGE(D5:M5,3),0)+IFERROR(LARGE(D5:M5,4),0)</f>
        <v>197</v>
      </c>
      <c r="P5" s="20">
        <f>SUM(D5:M5)/C5</f>
        <v>47.142857142857146</v>
      </c>
      <c r="Q5" s="21"/>
      <c r="T5" s="22"/>
    </row>
    <row r="6" spans="1:26" s="8" customFormat="1" ht="18.75" customHeight="1" thickBot="1">
      <c r="A6" s="15">
        <f>RANK(O6,O$5:O$197)</f>
        <v>2</v>
      </c>
      <c r="B6" s="23" t="s">
        <v>2</v>
      </c>
      <c r="C6" s="17">
        <f>COUNT(D6:M6)</f>
        <v>10</v>
      </c>
      <c r="D6" s="116">
        <f>IFERROR(VLOOKUP($B6,'NCA Players Doubles'!$Z:$AB,3,FALSE),IFERROR(VLOOKUP($B6,'NCA Players Doubles'!$AA:$AB,2,FALSE),""))</f>
        <v>43</v>
      </c>
      <c r="E6" s="4">
        <f>IFERROR(VLOOKUP($B6,'NCA Players Singles'!$V:$W,2,FALSE),"")</f>
        <v>43</v>
      </c>
      <c r="F6" s="26">
        <f>IFERROR(VLOOKUP($B6,Belleville!$U:$V,2,FALSE),"")</f>
        <v>45</v>
      </c>
      <c r="G6" s="187">
        <f>IFERROR(VLOOKUP($B6,'Owen Sound'!$Z:$AA,2,FALSE),"")</f>
        <v>35</v>
      </c>
      <c r="H6" s="187">
        <f>IFERROR(VLOOKUP($B6,ODCC!O:P,2,FALSE),"")</f>
        <v>50</v>
      </c>
      <c r="I6" s="187">
        <f>IFERROR(VLOOKUP($B6,Elmira!S:T,2,FALSE),"")</f>
        <v>36</v>
      </c>
      <c r="J6" s="187">
        <f>IFERROR(VLOOKUP($B6,Chatham!K:L,2,FALSE),"")</f>
        <v>50</v>
      </c>
      <c r="K6" s="187">
        <f>IFERROR(VLOOKUP($B6,London!AM:AN,2,FALSE),"")</f>
        <v>45</v>
      </c>
      <c r="L6" s="187">
        <f>IFERROR(VLOOKUP($B6,'US Open'!A:B,2,FALSE),"")</f>
        <v>50</v>
      </c>
      <c r="M6" s="25">
        <f>IFERROR(VLOOKUP($B6,'Ontario Singles'!A:B,2,FALSE),"")</f>
        <v>35</v>
      </c>
      <c r="N6" s="10"/>
      <c r="O6" s="19">
        <f>IFERROR(LARGE(D6:M6,1),0)+IFERROR(LARGE(D6:M6,2),0)+IFERROR(LARGE(D6:M6,3),0)+IFERROR(LARGE(D6:M6,4),0)</f>
        <v>195</v>
      </c>
      <c r="P6" s="20">
        <f>SUM(D6:M6)/C6</f>
        <v>43.2</v>
      </c>
      <c r="Q6" s="21"/>
      <c r="T6" s="22"/>
    </row>
    <row r="7" spans="1:26" s="8" customFormat="1" ht="18.75" customHeight="1" thickBot="1">
      <c r="A7" s="15">
        <f>RANK(O7,O$5:O$197)</f>
        <v>3</v>
      </c>
      <c r="B7" s="23" t="s">
        <v>36</v>
      </c>
      <c r="C7" s="17">
        <f>COUNT(D7:M7)</f>
        <v>10</v>
      </c>
      <c r="D7" s="116">
        <f>IFERROR(VLOOKUP($B7,'NCA Players Doubles'!$Z:$AB,3,FALSE),IFERROR(VLOOKUP($B7,'NCA Players Doubles'!$AA:$AB,2,FALSE),""))</f>
        <v>45</v>
      </c>
      <c r="E7" s="4">
        <f>IFERROR(VLOOKUP($B7,'NCA Players Singles'!$V:$W,2,FALSE),"")</f>
        <v>45</v>
      </c>
      <c r="F7" s="26">
        <f>IFERROR(VLOOKUP($B7,Belleville!$U:$V,2,FALSE),"")</f>
        <v>50</v>
      </c>
      <c r="G7" s="187">
        <f>IFERROR(VLOOKUP($B7,'Owen Sound'!$Z:$AA,2,FALSE),"")</f>
        <v>47</v>
      </c>
      <c r="H7" s="187">
        <f>IFERROR(VLOOKUP($B7,ODCC!O:P,2,FALSE),"")</f>
        <v>47</v>
      </c>
      <c r="I7" s="187">
        <f>IFERROR(VLOOKUP($B7,Elmira!S:T,2,FALSE),"")</f>
        <v>41</v>
      </c>
      <c r="J7" s="187">
        <f>IFERROR(VLOOKUP($B7,Chatham!K:L,2,FALSE),"")</f>
        <v>40</v>
      </c>
      <c r="K7" s="187">
        <f>IFERROR(VLOOKUP($B7,London!AM:AN,2,FALSE),"")</f>
        <v>40</v>
      </c>
      <c r="L7" s="187">
        <f>IFERROR(VLOOKUP($B7,'US Open'!A:B,2,FALSE),"")</f>
        <v>41</v>
      </c>
      <c r="M7" s="25">
        <f>IFERROR(VLOOKUP($B7,'Ontario Singles'!A:B,2,FALSE),"")</f>
        <v>47</v>
      </c>
      <c r="N7" s="10"/>
      <c r="O7" s="19">
        <f>IFERROR(LARGE(D7:M7,1),0)+IFERROR(LARGE(D7:M7,2),0)+IFERROR(LARGE(D7:M7,3),0)+IFERROR(LARGE(D7:M7,4),0)</f>
        <v>191</v>
      </c>
      <c r="P7" s="20">
        <f>SUM(D7:M7)/C7</f>
        <v>44.3</v>
      </c>
      <c r="Q7" s="21"/>
      <c r="T7" s="22"/>
    </row>
    <row r="8" spans="1:26" s="8" customFormat="1" ht="18.75" customHeight="1" thickBot="1">
      <c r="A8" s="15">
        <f>RANK(O8,O$5:O$197)</f>
        <v>4</v>
      </c>
      <c r="B8" s="23" t="s">
        <v>6</v>
      </c>
      <c r="C8" s="17">
        <f>COUNT(D8:M8)</f>
        <v>6</v>
      </c>
      <c r="D8" s="116">
        <f>IFERROR(VLOOKUP($B8,'NCA Players Doubles'!$Z:$AB,3,FALSE),IFERROR(VLOOKUP($B8,'NCA Players Doubles'!$AA:$AB,2,FALSE),""))</f>
        <v>50</v>
      </c>
      <c r="E8" s="4">
        <f>IFERROR(VLOOKUP($B8,'NCA Players Singles'!$V:$W,2,FALSE),"")</f>
        <v>41</v>
      </c>
      <c r="F8" s="24" t="str">
        <f>IFERROR(VLOOKUP($B8,Belleville!$U:$V,2,FALSE),"")</f>
        <v/>
      </c>
      <c r="G8" s="187" t="str">
        <f>IFERROR(VLOOKUP($B8,'Owen Sound'!$Z:$AA,2,FALSE),"")</f>
        <v/>
      </c>
      <c r="H8" s="187">
        <f>IFERROR(VLOOKUP($B8,ODCC!O:P,2,FALSE),"")</f>
        <v>43</v>
      </c>
      <c r="I8" s="187">
        <f>IFERROR(VLOOKUP($B8,Elmira!S:T,2,FALSE),"")</f>
        <v>45</v>
      </c>
      <c r="J8" s="187">
        <f>IFERROR(VLOOKUP($B8,Chatham!K:L,2,FALSE),"")</f>
        <v>45</v>
      </c>
      <c r="K8" s="187">
        <f>IFERROR(VLOOKUP($B8,London!AM:AN,2,FALSE),"")</f>
        <v>50</v>
      </c>
      <c r="L8" s="187" t="str">
        <f>IFERROR(VLOOKUP($B8,'US Open'!A:B,2,FALSE),"")</f>
        <v/>
      </c>
      <c r="M8" s="25" t="str">
        <f>IFERROR(VLOOKUP($B8,'Ontario Singles'!A:B,2,FALSE),"")</f>
        <v/>
      </c>
      <c r="N8" s="10"/>
      <c r="O8" s="19">
        <f>IFERROR(LARGE(D8:M8,1),0)+IFERROR(LARGE(D8:M8,2),0)+IFERROR(LARGE(D8:M8,3),0)+IFERROR(LARGE(D8:M8,4),0)</f>
        <v>190</v>
      </c>
      <c r="P8" s="20">
        <f>SUM(D8:M8)/C8</f>
        <v>45.666666666666664</v>
      </c>
      <c r="Q8" s="21"/>
      <c r="T8" s="22"/>
    </row>
    <row r="9" spans="1:26" s="8" customFormat="1" ht="18.75" customHeight="1" thickBot="1">
      <c r="A9" s="15">
        <f>RANK(O9,O$5:O$197)</f>
        <v>4</v>
      </c>
      <c r="B9" s="23" t="s">
        <v>5</v>
      </c>
      <c r="C9" s="17">
        <f>COUNT(D9:M9)</f>
        <v>8</v>
      </c>
      <c r="D9" s="116">
        <f>IFERROR(VLOOKUP($B9,'NCA Players Doubles'!$Z:$AB,3,FALSE),IFERROR(VLOOKUP($B9,'NCA Players Doubles'!$AA:$AB,2,FALSE),""))</f>
        <v>43</v>
      </c>
      <c r="E9" s="4">
        <f>IFERROR(VLOOKUP($B9,'NCA Players Singles'!$V:$W,2,FALSE),"")</f>
        <v>28</v>
      </c>
      <c r="F9" s="509">
        <f>IFERROR(VLOOKUP($B9,Belleville!$U:$V,2,FALSE),"")</f>
        <v>41</v>
      </c>
      <c r="G9" s="187">
        <f>IFERROR(VLOOKUP($B9,'Owen Sound'!$Z:$AA,2,FALSE),"")</f>
        <v>31</v>
      </c>
      <c r="H9" s="187">
        <f>IFERROR(VLOOKUP($B9,ODCC!O:P,2,FALSE),"")</f>
        <v>50</v>
      </c>
      <c r="I9" s="187" t="str">
        <f>IFERROR(VLOOKUP($B9,Elmira!S:T,2,FALSE),"")</f>
        <v/>
      </c>
      <c r="J9" s="187" t="str">
        <f>IFERROR(VLOOKUP($B9,Chatham!K:L,2,FALSE),"")</f>
        <v/>
      </c>
      <c r="K9" s="187">
        <f>IFERROR(VLOOKUP($B9,London!AM:AN,2,FALSE),"")</f>
        <v>47</v>
      </c>
      <c r="L9" s="187">
        <f>IFERROR(VLOOKUP($B9,'US Open'!A:B,2,FALSE),"")</f>
        <v>50</v>
      </c>
      <c r="M9" s="25">
        <f>IFERROR(VLOOKUP($B9,'Ontario Singles'!A:B,2,FALSE),"")</f>
        <v>39</v>
      </c>
      <c r="N9" s="10"/>
      <c r="O9" s="19">
        <f>IFERROR(LARGE(D9:M9,1),0)+IFERROR(LARGE(D9:M9,2),0)+IFERROR(LARGE(D9:M9,3),0)+IFERROR(LARGE(D9:M9,4),0)</f>
        <v>190</v>
      </c>
      <c r="P9" s="20">
        <f>SUM(D9:M9)/C9</f>
        <v>41.125</v>
      </c>
      <c r="Q9" s="21"/>
      <c r="R9" s="10"/>
      <c r="T9" s="27"/>
      <c r="U9" s="28"/>
      <c r="V9" s="22"/>
      <c r="W9" s="10"/>
    </row>
    <row r="10" spans="1:26" s="8" customFormat="1" ht="18.75" customHeight="1" thickBot="1">
      <c r="A10" s="15">
        <f>RANK(O10,O$5:O$197)</f>
        <v>6</v>
      </c>
      <c r="B10" s="23" t="s">
        <v>35</v>
      </c>
      <c r="C10" s="17">
        <f>COUNT(D10:M10)</f>
        <v>9</v>
      </c>
      <c r="D10" s="116">
        <f>IFERROR(VLOOKUP($B10,'NCA Players Doubles'!$Z:$AB,3,FALSE),IFERROR(VLOOKUP($B10,'NCA Players Doubles'!$AA:$AB,2,FALSE),""))</f>
        <v>34</v>
      </c>
      <c r="E10" s="4">
        <f>IFERROR(VLOOKUP($B10,'NCA Players Singles'!$V:$W,2,FALSE),"")</f>
        <v>47</v>
      </c>
      <c r="F10" s="31">
        <f>IFERROR(VLOOKUP($B10,Belleville!$U:$V,2,FALSE),"")</f>
        <v>43</v>
      </c>
      <c r="G10" s="187">
        <f>IFERROR(VLOOKUP($B10,'Owen Sound'!$Z:$AA,2,FALSE),"")</f>
        <v>43</v>
      </c>
      <c r="H10" s="187">
        <f>IFERROR(VLOOKUP($B10,ODCC!O:P,2,FALSE),"")</f>
        <v>47</v>
      </c>
      <c r="I10" s="187">
        <f>IFERROR(VLOOKUP($B10,Elmira!S:T,2,FALSE),"")</f>
        <v>38</v>
      </c>
      <c r="J10" s="187">
        <f>IFERROR(VLOOKUP($B10,Chatham!K:L,2,FALSE),"")</f>
        <v>43</v>
      </c>
      <c r="K10" s="187" t="str">
        <f>IFERROR(VLOOKUP($B10,London!AM:AN,2,FALSE),"")</f>
        <v/>
      </c>
      <c r="L10" s="187">
        <f>IFERROR(VLOOKUP($B10,'US Open'!A:B,2,FALSE),"")</f>
        <v>47</v>
      </c>
      <c r="M10" s="25">
        <f>IFERROR(VLOOKUP($B10,'Ontario Singles'!A:B,2,FALSE),"")</f>
        <v>43</v>
      </c>
      <c r="N10" s="10"/>
      <c r="O10" s="19">
        <f>IFERROR(LARGE(D10:M10,1),0)+IFERROR(LARGE(D10:M10,2),0)+IFERROR(LARGE(D10:M10,3),0)+IFERROR(LARGE(D10:M10,4),0)</f>
        <v>184</v>
      </c>
      <c r="P10" s="20">
        <f>SUM(D10:M10)/C10</f>
        <v>42.777777777777779</v>
      </c>
      <c r="Q10" s="21"/>
      <c r="T10" s="22"/>
    </row>
    <row r="11" spans="1:26" s="8" customFormat="1" ht="18.75" customHeight="1" thickBot="1">
      <c r="A11" s="15">
        <f>RANK(O11,O$5:O$197)</f>
        <v>7</v>
      </c>
      <c r="B11" s="23" t="s">
        <v>42</v>
      </c>
      <c r="C11" s="17">
        <f>COUNT(D11:M11)</f>
        <v>10</v>
      </c>
      <c r="D11" s="116">
        <f>IFERROR(VLOOKUP($B11,'NCA Players Doubles'!$Z:$AB,3,FALSE),IFERROR(VLOOKUP($B11,'NCA Players Doubles'!$AA:$AB,2,FALSE),""))</f>
        <v>47</v>
      </c>
      <c r="E11" s="4">
        <f>IFERROR(VLOOKUP($B11,'NCA Players Singles'!$V:$W,2,FALSE),"")</f>
        <v>33</v>
      </c>
      <c r="F11" s="26">
        <f>IFERROR(VLOOKUP($B11,Belleville!$U:$V,2,FALSE),"")</f>
        <v>40</v>
      </c>
      <c r="G11" s="187">
        <f>IFERROR(VLOOKUP($B11,'Owen Sound'!$Z:$AA,2,FALSE),"")</f>
        <v>41</v>
      </c>
      <c r="H11" s="187">
        <f>IFERROR(VLOOKUP($B11,ODCC!O:P,2,FALSE),"")</f>
        <v>37</v>
      </c>
      <c r="I11" s="187">
        <f>IFERROR(VLOOKUP($B11,Elmira!S:T,2,FALSE),"")</f>
        <v>47</v>
      </c>
      <c r="J11" s="187">
        <f>IFERROR(VLOOKUP($B11,Chatham!K:L,2,FALSE),"")</f>
        <v>39</v>
      </c>
      <c r="K11" s="187">
        <f>IFERROR(VLOOKUP($B11,London!AM:AN,2,FALSE),"")</f>
        <v>39</v>
      </c>
      <c r="L11" s="187">
        <f>IFERROR(VLOOKUP($B11,'US Open'!A:B,2,FALSE),"")</f>
        <v>43</v>
      </c>
      <c r="M11" s="25">
        <f>IFERROR(VLOOKUP($B11,'Ontario Singles'!A:B,2,FALSE),"")</f>
        <v>34</v>
      </c>
      <c r="N11" s="10"/>
      <c r="O11" s="19">
        <f>IFERROR(LARGE(D11:M11,1),0)+IFERROR(LARGE(D11:M11,2),0)+IFERROR(LARGE(D11:M11,3),0)+IFERROR(LARGE(D11:M11,4),0)</f>
        <v>178</v>
      </c>
      <c r="P11" s="20">
        <f>SUM(D11:M11)/C11</f>
        <v>40</v>
      </c>
      <c r="Q11" s="21"/>
      <c r="T11" s="27"/>
      <c r="U11" s="5"/>
    </row>
    <row r="12" spans="1:26" s="8" customFormat="1" ht="18.75" customHeight="1" thickBot="1">
      <c r="A12" s="15">
        <f>RANK(O12,O$5:O$197)</f>
        <v>8</v>
      </c>
      <c r="B12" s="23" t="s">
        <v>4</v>
      </c>
      <c r="C12" s="17">
        <f>COUNT(D12:M12)</f>
        <v>10</v>
      </c>
      <c r="D12" s="116">
        <f>IFERROR(VLOOKUP($B12,'NCA Players Doubles'!$Z:$AB,3,FALSE),IFERROR(VLOOKUP($B12,'NCA Players Doubles'!$AA:$AB,2,FALSE),""))</f>
        <v>41</v>
      </c>
      <c r="E12" s="4">
        <f>IFERROR(VLOOKUP($B12,'NCA Players Singles'!$V:$W,2,FALSE),"")</f>
        <v>37</v>
      </c>
      <c r="F12" s="33">
        <f>IFERROR(VLOOKUP($B12,Belleville!$U:$V,2,FALSE),"")</f>
        <v>47</v>
      </c>
      <c r="G12" s="187">
        <f>IFERROR(VLOOKUP($B12,'Owen Sound'!$Z:$AA,2,FALSE),"")</f>
        <v>29</v>
      </c>
      <c r="H12" s="187">
        <f>IFERROR(VLOOKUP($B12,ODCC!O:P,2,FALSE),"")</f>
        <v>35</v>
      </c>
      <c r="I12" s="187">
        <f>IFERROR(VLOOKUP($B12,Elmira!S:T,2,FALSE),"")</f>
        <v>43</v>
      </c>
      <c r="J12" s="187">
        <f>IFERROR(VLOOKUP($B12,Chatham!K:L,2,FALSE),"")</f>
        <v>38</v>
      </c>
      <c r="K12" s="187">
        <f>IFERROR(VLOOKUP($B12,London!AM:AN,2,FALSE),"")</f>
        <v>36</v>
      </c>
      <c r="L12" s="187">
        <f>IFERROR(VLOOKUP($B12,'US Open'!A:B,2,FALSE),"")</f>
        <v>41</v>
      </c>
      <c r="M12" s="25">
        <f>IFERROR(VLOOKUP($B12,'Ontario Singles'!A:B,2,FALSE),"")</f>
        <v>31</v>
      </c>
      <c r="N12" s="30"/>
      <c r="O12" s="19">
        <f>IFERROR(LARGE(D12:M12,1),0)+IFERROR(LARGE(D12:M12,2),0)+IFERROR(LARGE(D12:M12,3),0)+IFERROR(LARGE(D12:M12,4),0)</f>
        <v>172</v>
      </c>
      <c r="P12" s="20">
        <f>SUM(D12:M12)/C12</f>
        <v>37.799999999999997</v>
      </c>
      <c r="Q12" s="21"/>
      <c r="T12" s="10"/>
      <c r="U12" s="28"/>
      <c r="V12" s="29"/>
      <c r="W12" s="10"/>
    </row>
    <row r="13" spans="1:26" s="8" customFormat="1" ht="18.75" customHeight="1" thickBot="1">
      <c r="A13" s="15">
        <f>RANK(O13,O$5:O$197)</f>
        <v>9</v>
      </c>
      <c r="B13" s="23" t="s">
        <v>103</v>
      </c>
      <c r="C13" s="17">
        <f>COUNT(D13:M13)</f>
        <v>7</v>
      </c>
      <c r="D13" s="116">
        <f>IFERROR(VLOOKUP($B13,'NCA Players Doubles'!$Z:$AB,3,FALSE),IFERROR(VLOOKUP($B13,'NCA Players Doubles'!$AA:$AB,2,FALSE),""))</f>
        <v>40</v>
      </c>
      <c r="E13" s="4">
        <f>IFERROR(VLOOKUP($B13,'NCA Players Singles'!$V:$W,2,FALSE),"")</f>
        <v>30</v>
      </c>
      <c r="F13" s="18" t="str">
        <f>IFERROR(VLOOKUP($B13,Belleville!$U:$V,2,FALSE),"")</f>
        <v/>
      </c>
      <c r="G13" s="187">
        <f>IFERROR(VLOOKUP($B13,'Owen Sound'!$Z:$AA,2,FALSE),"")</f>
        <v>27</v>
      </c>
      <c r="H13" s="187">
        <f>IFERROR(VLOOKUP($B13,ODCC!O:P,2,FALSE),"")</f>
        <v>39</v>
      </c>
      <c r="I13" s="187" t="str">
        <f>IFERROR(VLOOKUP($B13,Elmira!S:T,2,FALSE),"")</f>
        <v/>
      </c>
      <c r="J13" s="187">
        <f>IFERROR(VLOOKUP($B13,Chatham!K:L,2,FALSE),"")</f>
        <v>41</v>
      </c>
      <c r="K13" s="187">
        <f>IFERROR(VLOOKUP($B13,London!AM:AN,2,FALSE),"")</f>
        <v>35</v>
      </c>
      <c r="L13" s="187" t="str">
        <f>IFERROR(VLOOKUP($B13,'US Open'!A:B,2,FALSE),"")</f>
        <v/>
      </c>
      <c r="M13" s="25">
        <f>IFERROR(VLOOKUP($B13,'Ontario Singles'!A:B,2,FALSE),"")</f>
        <v>50</v>
      </c>
      <c r="N13" s="10"/>
      <c r="O13" s="19">
        <f>IFERROR(LARGE(D13:M13,1),0)+IFERROR(LARGE(D13:M13,2),0)+IFERROR(LARGE(D13:M13,3),0)+IFERROR(LARGE(D13:M13,4),0)</f>
        <v>170</v>
      </c>
      <c r="P13" s="20">
        <f>SUM(D13:M13)/C13</f>
        <v>37.428571428571431</v>
      </c>
      <c r="T13" s="27"/>
      <c r="U13" s="28"/>
      <c r="V13" s="22"/>
      <c r="W13" s="10"/>
    </row>
    <row r="14" spans="1:26" s="8" customFormat="1" ht="18.75" customHeight="1" thickBot="1">
      <c r="A14" s="15">
        <f>RANK(O14,O$5:O$197)</f>
        <v>10</v>
      </c>
      <c r="B14" s="23" t="s">
        <v>3</v>
      </c>
      <c r="C14" s="17">
        <f>COUNT(D14:M14)</f>
        <v>7</v>
      </c>
      <c r="D14" s="116">
        <f>IFERROR(VLOOKUP($B14,'NCA Players Doubles'!$Z:$AB,3,FALSE),IFERROR(VLOOKUP($B14,'NCA Players Doubles'!$AA:$AB,2,FALSE),""))</f>
        <v>50</v>
      </c>
      <c r="E14" s="4">
        <f>IFERROR(VLOOKUP($B14,'NCA Players Singles'!$V:$W,2,FALSE),"")</f>
        <v>23</v>
      </c>
      <c r="F14" s="24">
        <f>IFERROR(VLOOKUP($B14,Belleville!$U:$V,2,FALSE),"")</f>
        <v>36</v>
      </c>
      <c r="G14" s="187" t="str">
        <f>IFERROR(VLOOKUP($B14,'Owen Sound'!$Z:$AA,2,FALSE),"")</f>
        <v/>
      </c>
      <c r="H14" s="187">
        <f>IFERROR(VLOOKUP($B14,ODCC!O:P,2,FALSE),"")</f>
        <v>43</v>
      </c>
      <c r="I14" s="187">
        <f>IFERROR(VLOOKUP($B14,Elmira!S:T,2,FALSE),"")</f>
        <v>26</v>
      </c>
      <c r="J14" s="187">
        <f>IFERROR(VLOOKUP($B14,Chatham!K:L,2,FALSE),"")</f>
        <v>36</v>
      </c>
      <c r="K14" s="187">
        <f>IFERROR(VLOOKUP($B14,London!AM:AN,2,FALSE),"")</f>
        <v>30</v>
      </c>
      <c r="L14" s="187" t="str">
        <f>IFERROR(VLOOKUP($B14,'US Open'!A:B,2,FALSE),"")</f>
        <v/>
      </c>
      <c r="M14" s="25" t="str">
        <f>IFERROR(VLOOKUP($B14,'Ontario Singles'!A:B,2,FALSE),"")</f>
        <v/>
      </c>
      <c r="N14" s="10"/>
      <c r="O14" s="19">
        <f>IFERROR(LARGE(D14:M14,1),0)+IFERROR(LARGE(D14:M14,2),0)+IFERROR(LARGE(D14:M14,3),0)+IFERROR(LARGE(D14:M14,4),0)</f>
        <v>165</v>
      </c>
      <c r="P14" s="20">
        <f>SUM(D14:M14)/C14</f>
        <v>34.857142857142854</v>
      </c>
      <c r="Q14" s="21"/>
      <c r="R14" s="2"/>
      <c r="S14" s="10"/>
      <c r="T14" s="27"/>
      <c r="U14" s="10"/>
      <c r="V14" s="22"/>
      <c r="W14" s="10"/>
    </row>
    <row r="15" spans="1:26" s="8" customFormat="1" ht="18.75" customHeight="1" thickBot="1">
      <c r="A15" s="15">
        <f>RANK(O15,O$5:O$197)</f>
        <v>11</v>
      </c>
      <c r="B15" s="23" t="s">
        <v>38</v>
      </c>
      <c r="C15" s="17">
        <f>COUNT(D15:M15)</f>
        <v>7</v>
      </c>
      <c r="D15" s="116">
        <f>IFERROR(VLOOKUP($B15,'NCA Players Doubles'!$Z:$AB,3,FALSE),IFERROR(VLOOKUP($B15,'NCA Players Doubles'!$AA:$AB,2,FALSE),""))</f>
        <v>33</v>
      </c>
      <c r="E15" s="4">
        <f>IFERROR(VLOOKUP($B15,'NCA Players Singles'!$V:$W,2,FALSE),"")</f>
        <v>32</v>
      </c>
      <c r="F15" s="26" t="str">
        <f>IFERROR(VLOOKUP($B15,Belleville!$U:$V,2,FALSE),"")</f>
        <v/>
      </c>
      <c r="G15" s="187" t="str">
        <f>IFERROR(VLOOKUP($B15,'Owen Sound'!$Z:$AA,2,FALSE),"")</f>
        <v/>
      </c>
      <c r="H15" s="187">
        <f>IFERROR(VLOOKUP($B15,ODCC!O:P,2,FALSE),"")</f>
        <v>45</v>
      </c>
      <c r="I15" s="187">
        <f>IFERROR(VLOOKUP($B15,Elmira!S:T,2,FALSE),"")</f>
        <v>21</v>
      </c>
      <c r="J15" s="187">
        <f>IFERROR(VLOOKUP($B15,Chatham!K:L,2,FALSE),"")</f>
        <v>37</v>
      </c>
      <c r="K15" s="187" t="str">
        <f>IFERROR(VLOOKUP($B15,London!AM:AN,2,FALSE),"")</f>
        <v/>
      </c>
      <c r="L15" s="187">
        <f>IFERROR(VLOOKUP($B15,'US Open'!A:B,2,FALSE),"")</f>
        <v>47</v>
      </c>
      <c r="M15" s="25">
        <f>IFERROR(VLOOKUP($B15,'Ontario Singles'!A:B,2,FALSE),"")</f>
        <v>33</v>
      </c>
      <c r="N15" s="10"/>
      <c r="O15" s="19">
        <f>IFERROR(LARGE(D15:M15,1),0)+IFERROR(LARGE(D15:M15,2),0)+IFERROR(LARGE(D15:M15,3),0)+IFERROR(LARGE(D15:M15,4),0)</f>
        <v>162</v>
      </c>
      <c r="P15" s="20">
        <f>SUM(D15:M15)/C15</f>
        <v>35.428571428571431</v>
      </c>
      <c r="Q15" s="21"/>
      <c r="T15" s="27"/>
      <c r="U15" s="2"/>
      <c r="V15" s="10"/>
      <c r="W15" s="32"/>
      <c r="X15" s="32"/>
      <c r="Y15" s="32"/>
      <c r="Z15" s="22"/>
    </row>
    <row r="16" spans="1:26" s="8" customFormat="1" ht="18.75" customHeight="1" thickBot="1">
      <c r="A16" s="15">
        <f>RANK(O16,O$5:O$197)</f>
        <v>12</v>
      </c>
      <c r="B16" s="23" t="s">
        <v>30</v>
      </c>
      <c r="C16" s="17">
        <f>COUNT(D16:M16)</f>
        <v>7</v>
      </c>
      <c r="D16" s="116">
        <f>IFERROR(VLOOKUP($B16,'NCA Players Doubles'!$Z:$AB,3,FALSE),IFERROR(VLOOKUP($B16,'NCA Players Doubles'!$AA:$AB,2,FALSE),""))</f>
        <v>47</v>
      </c>
      <c r="E16" s="4">
        <f>IFERROR(VLOOKUP($B16,'NCA Players Singles'!$V:$W,2,FALSE),"")</f>
        <v>20</v>
      </c>
      <c r="F16" s="18">
        <f>IFERROR(VLOOKUP($B16,Belleville!$U:$V,2,FALSE),"")</f>
        <v>35</v>
      </c>
      <c r="G16" s="187">
        <f>IFERROR(VLOOKUP($B16,'Owen Sound'!$Z:$AA,2,FALSE),"")</f>
        <v>40</v>
      </c>
      <c r="H16" s="187">
        <f>IFERROR(VLOOKUP($B16,ODCC!O:P,2,FALSE),"")</f>
        <v>37</v>
      </c>
      <c r="I16" s="187">
        <f>IFERROR(VLOOKUP($B16,Elmira!S:T,2,FALSE),"")</f>
        <v>32</v>
      </c>
      <c r="J16" s="187" t="str">
        <f>IFERROR(VLOOKUP($B16,Chatham!K:L,2,FALSE),"")</f>
        <v/>
      </c>
      <c r="K16" s="187" t="str">
        <f>IFERROR(VLOOKUP($B16,London!AM:AN,2,FALSE),"")</f>
        <v/>
      </c>
      <c r="L16" s="187" t="str">
        <f>IFERROR(VLOOKUP($B16,'US Open'!A:B,2,FALSE),"")</f>
        <v/>
      </c>
      <c r="M16" s="25">
        <f>IFERROR(VLOOKUP($B16,'Ontario Singles'!A:B,2,FALSE),"")</f>
        <v>28</v>
      </c>
      <c r="N16" s="10"/>
      <c r="O16" s="19">
        <f>IFERROR(LARGE(D16:M16,1),0)+IFERROR(LARGE(D16:M16,2),0)+IFERROR(LARGE(D16:M16,3),0)+IFERROR(LARGE(D16:M16,4),0)</f>
        <v>159</v>
      </c>
      <c r="P16" s="20">
        <f>SUM(D16:M16)/C16</f>
        <v>34.142857142857146</v>
      </c>
      <c r="Q16" s="21"/>
    </row>
    <row r="17" spans="1:31" s="8" customFormat="1" ht="18.75" customHeight="1" thickBot="1">
      <c r="A17" s="15">
        <f>RANK(O17,O$5:O$197)</f>
        <v>12</v>
      </c>
      <c r="B17" s="23" t="s">
        <v>16</v>
      </c>
      <c r="C17" s="17">
        <f>COUNT(D17:M17)</f>
        <v>6</v>
      </c>
      <c r="D17" s="116" t="str">
        <f>IFERROR(VLOOKUP($B17,'NCA Players Doubles'!$Z:$AB,3,FALSE),IFERROR(VLOOKUP($B17,'NCA Players Doubles'!$AA:$AB,2,FALSE),""))</f>
        <v/>
      </c>
      <c r="E17" s="4">
        <f>IFERROR(VLOOKUP($B17,'NCA Players Singles'!$V:$W,2,FALSE),"")</f>
        <v>27</v>
      </c>
      <c r="F17" s="26" t="str">
        <f>IFERROR(VLOOKUP($B17,Belleville!$U:$V,2,FALSE),"")</f>
        <v/>
      </c>
      <c r="G17" s="187" t="str">
        <f>IFERROR(VLOOKUP($B17,'Owen Sound'!$Z:$AA,2,FALSE),"")</f>
        <v/>
      </c>
      <c r="H17" s="187">
        <f>IFERROR(VLOOKUP($B17,ODCC!O:P,2,FALSE),"")</f>
        <v>41</v>
      </c>
      <c r="I17" s="187">
        <f>IFERROR(VLOOKUP($B17,Elmira!S:T,2,FALSE),"")</f>
        <v>40</v>
      </c>
      <c r="J17" s="187" t="str">
        <f>IFERROR(VLOOKUP($B17,Chatham!K:L,2,FALSE),"")</f>
        <v/>
      </c>
      <c r="K17" s="187">
        <f>IFERROR(VLOOKUP($B17,London!AM:AN,2,FALSE),"")</f>
        <v>41</v>
      </c>
      <c r="L17" s="187">
        <f>IFERROR(VLOOKUP($B17,'US Open'!A:B,2,FALSE),"")</f>
        <v>37</v>
      </c>
      <c r="M17" s="25">
        <f>IFERROR(VLOOKUP($B17,'Ontario Singles'!A:B,2,FALSE),"")</f>
        <v>30</v>
      </c>
      <c r="N17" s="10"/>
      <c r="O17" s="19">
        <f>IFERROR(LARGE(D17:M17,1),0)+IFERROR(LARGE(D17:M17,2),0)+IFERROR(LARGE(D17:M17,3),0)+IFERROR(LARGE(D17:M17,4),0)</f>
        <v>159</v>
      </c>
      <c r="P17" s="20">
        <f>SUM(D17:M17)/C17</f>
        <v>36</v>
      </c>
      <c r="Q17" s="21"/>
    </row>
    <row r="18" spans="1:31" s="8" customFormat="1" ht="18.75" customHeight="1" thickBot="1">
      <c r="A18" s="15">
        <f>RANK(O18,O$5:O$197)</f>
        <v>14</v>
      </c>
      <c r="B18" s="23" t="s">
        <v>39</v>
      </c>
      <c r="C18" s="17">
        <f>COUNT(D18:M18)</f>
        <v>7</v>
      </c>
      <c r="D18" s="116">
        <f>IFERROR(VLOOKUP($B18,'NCA Players Doubles'!$Z:$AB,3,FALSE),IFERROR(VLOOKUP($B18,'NCA Players Doubles'!$AA:$AB,2,FALSE),""))</f>
        <v>39</v>
      </c>
      <c r="E18" s="4">
        <f>IFERROR(VLOOKUP($B18,'NCA Players Singles'!$V:$W,2,FALSE),"")</f>
        <v>38</v>
      </c>
      <c r="F18" s="26" t="str">
        <f>IFERROR(VLOOKUP($B18,Belleville!$U:$V,2,FALSE),"")</f>
        <v/>
      </c>
      <c r="G18" s="187">
        <f>IFERROR(VLOOKUP($B18,'Owen Sound'!$Z:$AA,2,FALSE),"")</f>
        <v>39</v>
      </c>
      <c r="H18" s="187">
        <f>IFERROR(VLOOKUP($B18,ODCC!O:P,2,FALSE),"")</f>
        <v>39</v>
      </c>
      <c r="I18" s="187">
        <f>IFERROR(VLOOKUP($B18,Elmira!S:T,2,FALSE),"")</f>
        <v>25</v>
      </c>
      <c r="J18" s="187" t="str">
        <f>IFERROR(VLOOKUP($B18,Chatham!K:L,2,FALSE),"")</f>
        <v/>
      </c>
      <c r="K18" s="187">
        <f>IFERROR(VLOOKUP($B18,London!AM:AN,2,FALSE),"")</f>
        <v>37</v>
      </c>
      <c r="L18" s="187" t="str">
        <f>IFERROR(VLOOKUP($B18,'US Open'!A:B,2,FALSE),"")</f>
        <v/>
      </c>
      <c r="M18" s="25">
        <f>IFERROR(VLOOKUP($B18,'Ontario Singles'!A:B,2,FALSE),"")</f>
        <v>36</v>
      </c>
      <c r="N18" s="10"/>
      <c r="O18" s="19">
        <f>IFERROR(LARGE(D18:M18,1),0)+IFERROR(LARGE(D18:M18,2),0)+IFERROR(LARGE(D18:M18,3),0)+IFERROR(LARGE(D18:M18,4),0)</f>
        <v>155</v>
      </c>
      <c r="P18" s="20">
        <f>SUM(D18:M18)/C18</f>
        <v>36.142857142857146</v>
      </c>
      <c r="Q18" s="21"/>
      <c r="T18" s="10"/>
      <c r="U18" s="28"/>
      <c r="V18" s="29"/>
      <c r="W18" s="10"/>
    </row>
    <row r="19" spans="1:31" s="8" customFormat="1" ht="18.75" customHeight="1" thickBot="1">
      <c r="A19" s="15">
        <f>RANK(O19,O$5:O$197)</f>
        <v>15</v>
      </c>
      <c r="B19" s="23" t="s">
        <v>37</v>
      </c>
      <c r="C19" s="17">
        <f>COUNT(D19:M19)</f>
        <v>6</v>
      </c>
      <c r="D19" s="116">
        <f>IFERROR(VLOOKUP($B19,'NCA Players Doubles'!$Z:$AB,3,FALSE),IFERROR(VLOOKUP($B19,'NCA Players Doubles'!$AA:$AB,2,FALSE),""))</f>
        <v>33</v>
      </c>
      <c r="E19" s="4">
        <f>IFERROR(VLOOKUP($B19,'NCA Players Singles'!$V:$W,2,FALSE),"")</f>
        <v>31</v>
      </c>
      <c r="F19" s="33" t="str">
        <f>IFERROR(VLOOKUP($B19,Belleville!$U:$V,2,FALSE),"")</f>
        <v/>
      </c>
      <c r="G19" s="187" t="str">
        <f>IFERROR(VLOOKUP($B19,'Owen Sound'!$Z:$AA,2,FALSE),"")</f>
        <v/>
      </c>
      <c r="H19" s="187">
        <f>IFERROR(VLOOKUP($B19,ODCC!O:P,2,FALSE),"")</f>
        <v>45</v>
      </c>
      <c r="I19" s="187">
        <f>IFERROR(VLOOKUP($B19,Elmira!S:T,2,FALSE),"")</f>
        <v>39</v>
      </c>
      <c r="J19" s="187">
        <f>IFERROR(VLOOKUP($B19,Chatham!K:L,2,FALSE),"")</f>
        <v>31</v>
      </c>
      <c r="K19" s="187" t="str">
        <f>IFERROR(VLOOKUP($B19,London!AM:AN,2,FALSE),"")</f>
        <v/>
      </c>
      <c r="L19" s="187" t="str">
        <f>IFERROR(VLOOKUP($B19,'US Open'!A:B,2,FALSE),"")</f>
        <v/>
      </c>
      <c r="M19" s="25">
        <f>IFERROR(VLOOKUP($B19,'Ontario Singles'!A:B,2,FALSE),"")</f>
        <v>37</v>
      </c>
      <c r="N19" s="10"/>
      <c r="O19" s="19">
        <f>IFERROR(LARGE(D19:M19,1),0)+IFERROR(LARGE(D19:M19,2),0)+IFERROR(LARGE(D19:M19,3),0)+IFERROR(LARGE(D19:M19,4),0)</f>
        <v>154</v>
      </c>
      <c r="P19" s="20">
        <f>SUM(D19:M19)/C19</f>
        <v>36</v>
      </c>
      <c r="Q19" s="21"/>
      <c r="AD19" s="10"/>
      <c r="AE19" s="21"/>
    </row>
    <row r="20" spans="1:31" s="8" customFormat="1" ht="18.75" customHeight="1" thickBot="1">
      <c r="A20" s="15">
        <f>RANK(O20,O$5:O$197)</f>
        <v>16</v>
      </c>
      <c r="B20" s="23" t="s">
        <v>105</v>
      </c>
      <c r="C20" s="17">
        <f>COUNT(D20:M20)</f>
        <v>6</v>
      </c>
      <c r="D20" s="116">
        <f>IFERROR(VLOOKUP($B20,'NCA Players Doubles'!$Z:$AB,3,FALSE),IFERROR(VLOOKUP($B20,'NCA Players Doubles'!$AA:$AB,2,FALSE),""))</f>
        <v>37</v>
      </c>
      <c r="E20" s="4">
        <f>IFERROR(VLOOKUP($B20,'NCA Players Singles'!$V:$W,2,FALSE),"")</f>
        <v>36</v>
      </c>
      <c r="F20" s="24">
        <f>IFERROR(VLOOKUP($B20,Belleville!$U:$V,2,FALSE),"")</f>
        <v>39</v>
      </c>
      <c r="G20" s="187">
        <f>IFERROR(VLOOKUP($B20,'Owen Sound'!$Z:$AA,2,FALSE),"")</f>
        <v>32</v>
      </c>
      <c r="H20" s="187">
        <f>IFERROR(VLOOKUP($B20,ODCC!O:P,2,FALSE),"")</f>
        <v>38</v>
      </c>
      <c r="I20" s="187">
        <f>IFERROR(VLOOKUP($B20,Elmira!S:T,2,FALSE),"")</f>
        <v>31</v>
      </c>
      <c r="J20" s="187" t="str">
        <f>IFERROR(VLOOKUP($B20,Chatham!K:L,2,FALSE),"")</f>
        <v/>
      </c>
      <c r="K20" s="187" t="str">
        <f>IFERROR(VLOOKUP($B20,London!AM:AN,2,FALSE),"")</f>
        <v/>
      </c>
      <c r="L20" s="187" t="str">
        <f>IFERROR(VLOOKUP($B20,'US Open'!A:B,2,FALSE),"")</f>
        <v/>
      </c>
      <c r="M20" s="25" t="str">
        <f>IFERROR(VLOOKUP($B20,'Ontario Singles'!A:B,2,FALSE),"")</f>
        <v/>
      </c>
      <c r="N20" s="30"/>
      <c r="O20" s="19">
        <f>IFERROR(LARGE(D20:M20,1),0)+IFERROR(LARGE(D20:M20,2),0)+IFERROR(LARGE(D20:M20,3),0)+IFERROR(LARGE(D20:M20,4),0)</f>
        <v>150</v>
      </c>
      <c r="P20" s="20">
        <f>SUM(D20:M20)/C20</f>
        <v>35.5</v>
      </c>
      <c r="Q20" s="21"/>
      <c r="T20" s="10"/>
      <c r="U20" s="28"/>
      <c r="V20" s="29"/>
      <c r="W20" s="10"/>
    </row>
    <row r="21" spans="1:31" s="8" customFormat="1" ht="18.75" customHeight="1" thickBot="1">
      <c r="A21" s="15">
        <f>RANK(O21,O$5:O$197)</f>
        <v>17</v>
      </c>
      <c r="B21" s="23" t="s">
        <v>8</v>
      </c>
      <c r="C21" s="17">
        <f>COUNT(D21:M21)</f>
        <v>9</v>
      </c>
      <c r="D21" s="116">
        <f>IFERROR(VLOOKUP($B21,'NCA Players Doubles'!$Z:$AB,3,FALSE),IFERROR(VLOOKUP($B21,'NCA Players Doubles'!$AA:$AB,2,FALSE),""))</f>
        <v>41</v>
      </c>
      <c r="E21" s="4">
        <f>IFERROR(VLOOKUP($B21,'NCA Players Singles'!$V:$W,2,FALSE),"")</f>
        <v>20</v>
      </c>
      <c r="F21" s="18">
        <f>IFERROR(VLOOKUP($B21,Belleville!$U:$V,2,FALSE),"")</f>
        <v>31</v>
      </c>
      <c r="G21" s="187">
        <f>IFERROR(VLOOKUP($B21,'Owen Sound'!$Z:$AA,2,FALSE),"")</f>
        <v>25</v>
      </c>
      <c r="H21" s="187">
        <f>IFERROR(VLOOKUP($B21,ODCC!O:P,2,FALSE),"")</f>
        <v>33</v>
      </c>
      <c r="I21" s="187">
        <f>IFERROR(VLOOKUP($B21,Elmira!S:T,2,FALSE),"")</f>
        <v>20</v>
      </c>
      <c r="J21" s="187">
        <f>IFERROR(VLOOKUP($B21,Chatham!K:L,2,FALSE),"")</f>
        <v>34</v>
      </c>
      <c r="K21" s="187">
        <f>IFERROR(VLOOKUP($B21,London!AM:AN,2,FALSE),"")</f>
        <v>33</v>
      </c>
      <c r="L21" s="187" t="str">
        <f>IFERROR(VLOOKUP($B21,'US Open'!A:B,2,FALSE),"")</f>
        <v/>
      </c>
      <c r="M21" s="25">
        <f>IFERROR(VLOOKUP($B21,'Ontario Singles'!A:B,2,FALSE),"")</f>
        <v>41</v>
      </c>
      <c r="N21" s="30"/>
      <c r="O21" s="19">
        <f>IFERROR(LARGE(D21:M21,1),0)+IFERROR(LARGE(D21:M21,2),0)+IFERROR(LARGE(D21:M21,3),0)+IFERROR(LARGE(D21:M21,4),0)</f>
        <v>149</v>
      </c>
      <c r="P21" s="20">
        <f>SUM(D21:M21)/C21</f>
        <v>30.888888888888889</v>
      </c>
      <c r="Q21" s="21"/>
      <c r="R21" s="10"/>
      <c r="S21" s="35"/>
      <c r="T21" s="10"/>
      <c r="U21" s="10"/>
      <c r="V21" s="10"/>
      <c r="W21" s="10"/>
      <c r="X21" s="10"/>
      <c r="Y21" s="10"/>
      <c r="Z21" s="10"/>
      <c r="AA21" s="10"/>
      <c r="AB21" s="10"/>
    </row>
    <row r="22" spans="1:31" s="8" customFormat="1" ht="18.75" customHeight="1" thickBot="1">
      <c r="A22" s="15">
        <f>RANK(O22,O$5:O$197)</f>
        <v>18</v>
      </c>
      <c r="B22" s="23" t="s">
        <v>155</v>
      </c>
      <c r="C22" s="17">
        <f>COUNT(D22:M22)</f>
        <v>5</v>
      </c>
      <c r="D22" s="116" t="str">
        <f>IFERROR(VLOOKUP($B22,'NCA Players Doubles'!$Z:$AB,3,FALSE),IFERROR(VLOOKUP($B22,'NCA Players Doubles'!$AA:$AB,2,FALSE),""))</f>
        <v/>
      </c>
      <c r="E22" s="4">
        <f>IFERROR(VLOOKUP($B22,'NCA Players Singles'!$V:$W,2,FALSE),"")</f>
        <v>34</v>
      </c>
      <c r="F22" s="24">
        <f>IFERROR(VLOOKUP($B22,Belleville!$U:$V,2,FALSE),"")</f>
        <v>28</v>
      </c>
      <c r="G22" s="187" t="str">
        <f>IFERROR(VLOOKUP($B22,'Owen Sound'!$Z:$AA,2,FALSE),"")</f>
        <v/>
      </c>
      <c r="H22" s="187" t="str">
        <f>IFERROR(VLOOKUP($B22,ODCC!O:P,2,FALSE),"")</f>
        <v/>
      </c>
      <c r="I22" s="187">
        <f>IFERROR(VLOOKUP($B22,Elmira!S:T,2,FALSE),"")</f>
        <v>31</v>
      </c>
      <c r="J22" s="187" t="str">
        <f>IFERROR(VLOOKUP($B22,Chatham!K:L,2,FALSE),"")</f>
        <v/>
      </c>
      <c r="K22" s="187">
        <f>IFERROR(VLOOKUP($B22,London!AM:AN,2,FALSE),"")</f>
        <v>38</v>
      </c>
      <c r="L22" s="187" t="str">
        <f>IFERROR(VLOOKUP($B22,'US Open'!A:B,2,FALSE),"")</f>
        <v/>
      </c>
      <c r="M22" s="25">
        <f>IFERROR(VLOOKUP($B22,'Ontario Singles'!A:B,2,FALSE),"")</f>
        <v>38</v>
      </c>
      <c r="N22" s="10"/>
      <c r="O22" s="19">
        <f>IFERROR(LARGE(D22:M22,1),0)+IFERROR(LARGE(D22:M22,2),0)+IFERROR(LARGE(D22:M22,3),0)+IFERROR(LARGE(D22:M22,4),0)</f>
        <v>141</v>
      </c>
      <c r="P22" s="20">
        <f>SUM(D22:M22)/C22</f>
        <v>33.799999999999997</v>
      </c>
      <c r="Q22" s="21"/>
      <c r="U22" s="5"/>
    </row>
    <row r="23" spans="1:31" s="8" customFormat="1" ht="18.75" customHeight="1" thickBot="1">
      <c r="A23" s="15">
        <f>RANK(O23,O$5:O$197)</f>
        <v>18</v>
      </c>
      <c r="B23" s="23" t="s">
        <v>109</v>
      </c>
      <c r="C23" s="17">
        <f>COUNT(D23:M23)</f>
        <v>4</v>
      </c>
      <c r="D23" s="116">
        <f>IFERROR(VLOOKUP($B23,'NCA Players Doubles'!$Z:$AB,3,FALSE),IFERROR(VLOOKUP($B23,'NCA Players Doubles'!$AA:$AB,2,FALSE),""))</f>
        <v>38</v>
      </c>
      <c r="E23" s="4">
        <f>IFERROR(VLOOKUP($B23,'NCA Players Singles'!$V:$W,2,FALSE),"")</f>
        <v>40</v>
      </c>
      <c r="F23" s="18" t="str">
        <f>IFERROR(VLOOKUP($B23,Belleville!$U:$V,2,FALSE),"")</f>
        <v/>
      </c>
      <c r="G23" s="187" t="str">
        <f>IFERROR(VLOOKUP($B23,'Owen Sound'!$Z:$AA,2,FALSE),"")</f>
        <v/>
      </c>
      <c r="H23" s="187" t="str">
        <f>IFERROR(VLOOKUP($B23,ODCC!O:P,2,FALSE),"")</f>
        <v/>
      </c>
      <c r="I23" s="187" t="str">
        <f>IFERROR(VLOOKUP($B23,Elmira!S:T,2,FALSE),"")</f>
        <v/>
      </c>
      <c r="J23" s="187" t="str">
        <f>IFERROR(VLOOKUP($B23,Chatham!K:L,2,FALSE),"")</f>
        <v/>
      </c>
      <c r="K23" s="187">
        <f>IFERROR(VLOOKUP($B23,London!AM:AN,2,FALSE),"")</f>
        <v>28</v>
      </c>
      <c r="L23" s="187" t="str">
        <f>IFERROR(VLOOKUP($B23,'US Open'!A:B,2,FALSE),"")</f>
        <v/>
      </c>
      <c r="M23" s="25">
        <f>IFERROR(VLOOKUP($B23,'Ontario Singles'!A:B,2,FALSE),"")</f>
        <v>35</v>
      </c>
      <c r="N23" s="10"/>
      <c r="O23" s="19">
        <f>IFERROR(LARGE(D23:M23,1),0)+IFERROR(LARGE(D23:M23,2),0)+IFERROR(LARGE(D23:M23,3),0)+IFERROR(LARGE(D23:M23,4),0)</f>
        <v>141</v>
      </c>
      <c r="P23" s="20">
        <f>SUM(D23:M23)/C23</f>
        <v>35.25</v>
      </c>
      <c r="Q23" s="21"/>
      <c r="T23" s="27"/>
      <c r="U23" s="5"/>
    </row>
    <row r="24" spans="1:31" s="8" customFormat="1" ht="18.75" customHeight="1" thickBot="1">
      <c r="A24" s="15">
        <f>RANK(O24,O$5:O$197)</f>
        <v>20</v>
      </c>
      <c r="B24" s="23" t="s">
        <v>46</v>
      </c>
      <c r="C24" s="17">
        <f>COUNT(D24:M24)</f>
        <v>6</v>
      </c>
      <c r="D24" s="116">
        <f>IFERROR(VLOOKUP($B24,'NCA Players Doubles'!$Z:$AB,3,FALSE),IFERROR(VLOOKUP($B24,'NCA Players Doubles'!$AA:$AB,2,FALSE),""))</f>
        <v>36</v>
      </c>
      <c r="E24" s="4">
        <f>IFERROR(VLOOKUP($B24,'NCA Players Singles'!$V:$W,2,FALSE),"")</f>
        <v>29</v>
      </c>
      <c r="F24" s="26" t="str">
        <f>IFERROR(VLOOKUP($B24,Belleville!$U:$V,2,FALSE),"")</f>
        <v/>
      </c>
      <c r="G24" s="187">
        <f>IFERROR(VLOOKUP($B24,'Owen Sound'!$Z:$AA,2,FALSE),"")</f>
        <v>39</v>
      </c>
      <c r="H24" s="187">
        <f>IFERROR(VLOOKUP($B24,ODCC!O:P,2,FALSE),"")</f>
        <v>32</v>
      </c>
      <c r="I24" s="187">
        <f>IFERROR(VLOOKUP($B24,Elmira!S:T,2,FALSE),"")</f>
        <v>30</v>
      </c>
      <c r="J24" s="187" t="str">
        <f>IFERROR(VLOOKUP($B24,Chatham!K:L,2,FALSE),"")</f>
        <v/>
      </c>
      <c r="K24" s="187" t="str">
        <f>IFERROR(VLOOKUP($B24,London!AM:AN,2,FALSE),"")</f>
        <v/>
      </c>
      <c r="L24" s="187" t="str">
        <f>IFERROR(VLOOKUP($B24,'US Open'!A:B,2,FALSE),"")</f>
        <v/>
      </c>
      <c r="M24" s="25">
        <f>IFERROR(VLOOKUP($B24,'Ontario Singles'!A:B,2,FALSE),"")</f>
        <v>20</v>
      </c>
      <c r="N24" s="10"/>
      <c r="O24" s="19">
        <f>IFERROR(LARGE(D24:M24,1),0)+IFERROR(LARGE(D24:M24,2),0)+IFERROR(LARGE(D24:M24,3),0)+IFERROR(LARGE(D24:M24,4),0)</f>
        <v>137</v>
      </c>
      <c r="P24" s="20">
        <f>SUM(D24:M24)/C24</f>
        <v>31</v>
      </c>
      <c r="Q24" s="21"/>
    </row>
    <row r="25" spans="1:31" s="8" customFormat="1" ht="18.75" customHeight="1" thickBot="1">
      <c r="A25" s="15">
        <f>RANK(O25,O$5:O$197)</f>
        <v>21</v>
      </c>
      <c r="B25" s="23" t="s">
        <v>23</v>
      </c>
      <c r="C25" s="17">
        <f>COUNT(D25:M25)</f>
        <v>5</v>
      </c>
      <c r="D25" s="116">
        <f>IFERROR(VLOOKUP($B25,'NCA Players Doubles'!$Z:$AB,3,FALSE),IFERROR(VLOOKUP($B25,'NCA Players Doubles'!$AA:$AB,2,FALSE),""))</f>
        <v>38</v>
      </c>
      <c r="E25" s="4">
        <f>IFERROR(VLOOKUP($B25,'NCA Players Singles'!$V:$W,2,FALSE),"")</f>
        <v>25</v>
      </c>
      <c r="F25" s="24" t="str">
        <f>IFERROR(VLOOKUP($B25,Belleville!$U:$V,2,FALSE),"")</f>
        <v/>
      </c>
      <c r="G25" s="187" t="str">
        <f>IFERROR(VLOOKUP($B25,'Owen Sound'!$Z:$AA,2,FALSE),"")</f>
        <v/>
      </c>
      <c r="H25" s="187">
        <f>IFERROR(VLOOKUP($B25,ODCC!O:P,2,FALSE),"")</f>
        <v>34</v>
      </c>
      <c r="I25" s="187" t="str">
        <f>IFERROR(VLOOKUP($B25,Elmira!S:T,2,FALSE),"")</f>
        <v/>
      </c>
      <c r="J25" s="187" t="str">
        <f>IFERROR(VLOOKUP($B25,Chatham!K:L,2,FALSE),"")</f>
        <v/>
      </c>
      <c r="K25" s="187">
        <f>IFERROR(VLOOKUP($B25,London!AM:AN,2,FALSE),"")</f>
        <v>37</v>
      </c>
      <c r="L25" s="187" t="str">
        <f>IFERROR(VLOOKUP($B25,'US Open'!A:B,2,FALSE),"")</f>
        <v/>
      </c>
      <c r="M25" s="25">
        <f>IFERROR(VLOOKUP($B25,'Ontario Singles'!A:B,2,FALSE),"")</f>
        <v>25</v>
      </c>
      <c r="N25" s="10"/>
      <c r="O25" s="19">
        <f>IFERROR(LARGE(D25:M25,1),0)+IFERROR(LARGE(D25:M25,2),0)+IFERROR(LARGE(D25:M25,3),0)+IFERROR(LARGE(D25:M25,4),0)</f>
        <v>134</v>
      </c>
      <c r="P25" s="20">
        <f>SUM(D25:M25)/C25</f>
        <v>31.8</v>
      </c>
      <c r="Q25" s="21"/>
      <c r="R25" s="2"/>
      <c r="T25" s="27"/>
      <c r="U25" s="10"/>
      <c r="V25" s="22"/>
      <c r="W25" s="10"/>
    </row>
    <row r="26" spans="1:31" s="8" customFormat="1" ht="18.75" customHeight="1" thickBot="1">
      <c r="A26" s="15">
        <f>RANK(O26,O$5:O$197)</f>
        <v>22</v>
      </c>
      <c r="B26" s="23" t="s">
        <v>50</v>
      </c>
      <c r="C26" s="17">
        <f>COUNT(D26:M26)</f>
        <v>8</v>
      </c>
      <c r="D26" s="116">
        <f>IFERROR(VLOOKUP($B26,'NCA Players Doubles'!$Z:$AB,3,FALSE),IFERROR(VLOOKUP($B26,'NCA Players Doubles'!$AA:$AB,2,FALSE),""))</f>
        <v>29</v>
      </c>
      <c r="E26" s="4">
        <f>IFERROR(VLOOKUP($B26,'NCA Players Singles'!$V:$W,2,FALSE),"")</f>
        <v>21</v>
      </c>
      <c r="F26" s="33" t="str">
        <f>IFERROR(VLOOKUP($B26,Belleville!$U:$V,2,FALSE),"")</f>
        <v/>
      </c>
      <c r="G26" s="187">
        <f>IFERROR(VLOOKUP($B26,'Owen Sound'!$Z:$AA,2,FALSE),"")</f>
        <v>26</v>
      </c>
      <c r="H26" s="187">
        <f>IFERROR(VLOOKUP($B26,ODCC!O:P,2,FALSE),"")</f>
        <v>36</v>
      </c>
      <c r="I26" s="187">
        <f>IFERROR(VLOOKUP($B26,Elmira!S:T,2,FALSE),"")</f>
        <v>27</v>
      </c>
      <c r="J26" s="187">
        <f>IFERROR(VLOOKUP($B26,Chatham!K:L,2,FALSE),"")</f>
        <v>32</v>
      </c>
      <c r="K26" s="187">
        <f>IFERROR(VLOOKUP($B26,London!AM:AN,2,FALSE),"")</f>
        <v>31</v>
      </c>
      <c r="L26" s="187" t="str">
        <f>IFERROR(VLOOKUP($B26,'US Open'!A:B,2,FALSE),"")</f>
        <v/>
      </c>
      <c r="M26" s="25">
        <f>IFERROR(VLOOKUP($B26,'Ontario Singles'!A:B,2,FALSE),"")</f>
        <v>27</v>
      </c>
      <c r="N26" s="10"/>
      <c r="O26" s="19">
        <f>IFERROR(LARGE(D26:M26,1),0)+IFERROR(LARGE(D26:M26,2),0)+IFERROR(LARGE(D26:M26,3),0)+IFERROR(LARGE(D26:M26,4),0)</f>
        <v>128</v>
      </c>
      <c r="P26" s="20">
        <f>SUM(D26:M26)/C26</f>
        <v>28.625</v>
      </c>
      <c r="Q26" s="21"/>
      <c r="R26" s="2"/>
      <c r="S26" s="2"/>
      <c r="T26" s="22"/>
      <c r="U26" s="34"/>
      <c r="V26" s="22"/>
      <c r="W26" s="10"/>
    </row>
    <row r="27" spans="1:31" s="8" customFormat="1" ht="18.75" customHeight="1" thickBot="1">
      <c r="A27" s="15">
        <f>RANK(O27,O$5:O$197)</f>
        <v>23</v>
      </c>
      <c r="B27" s="23" t="s">
        <v>121</v>
      </c>
      <c r="C27" s="17">
        <f>COUNT(D27:M27)</f>
        <v>8</v>
      </c>
      <c r="D27" s="116">
        <f>IFERROR(VLOOKUP($B27,'NCA Players Doubles'!$Z:$AB,3,FALSE),IFERROR(VLOOKUP($B27,'NCA Players Doubles'!$AA:$AB,2,FALSE),""))</f>
        <v>27</v>
      </c>
      <c r="E27" s="4">
        <f>IFERROR(VLOOKUP($B27,'NCA Players Singles'!$V:$W,2,FALSE),"")</f>
        <v>20</v>
      </c>
      <c r="F27" s="26" t="str">
        <f>IFERROR(VLOOKUP($B27,Belleville!$U:$V,2,FALSE),"")</f>
        <v/>
      </c>
      <c r="G27" s="187">
        <f>IFERROR(VLOOKUP($B27,'Owen Sound'!$Z:$AA,2,FALSE),"")</f>
        <v>38</v>
      </c>
      <c r="H27" s="187">
        <f>IFERROR(VLOOKUP($B27,ODCC!O:P,2,FALSE),"")</f>
        <v>30</v>
      </c>
      <c r="I27" s="187">
        <f>IFERROR(VLOOKUP($B27,Elmira!S:T,2,FALSE),"")</f>
        <v>21</v>
      </c>
      <c r="J27" s="187">
        <f>IFERROR(VLOOKUP($B27,Chatham!K:L,2,FALSE),"")</f>
        <v>30</v>
      </c>
      <c r="K27" s="187">
        <f>IFERROR(VLOOKUP($B27,London!AM:AN,2,FALSE),"")</f>
        <v>20</v>
      </c>
      <c r="L27" s="187" t="str">
        <f>IFERROR(VLOOKUP($B27,'US Open'!A:B,2,FALSE),"")</f>
        <v/>
      </c>
      <c r="M27" s="25">
        <f>IFERROR(VLOOKUP($B27,'Ontario Singles'!A:B,2,FALSE),"")</f>
        <v>29</v>
      </c>
      <c r="N27" s="10"/>
      <c r="O27" s="19">
        <f>IFERROR(LARGE(D27:M27,1),0)+IFERROR(LARGE(D27:M27,2),0)+IFERROR(LARGE(D27:M27,3),0)+IFERROR(LARGE(D27:M27,4),0)</f>
        <v>127</v>
      </c>
      <c r="P27" s="20">
        <f>SUM(D27:M27)/C27</f>
        <v>26.875</v>
      </c>
      <c r="Q27" s="21"/>
      <c r="R27" s="2"/>
      <c r="S27" s="2"/>
      <c r="T27" s="22"/>
      <c r="U27" s="34"/>
      <c r="V27" s="22"/>
      <c r="W27" s="10"/>
    </row>
    <row r="28" spans="1:31" s="8" customFormat="1" ht="18.75" customHeight="1" thickBot="1">
      <c r="A28" s="15">
        <f>RANK(O28,O$5:O$197)</f>
        <v>24</v>
      </c>
      <c r="B28" s="23" t="s">
        <v>278</v>
      </c>
      <c r="C28" s="17">
        <f>COUNT(D28:M28)</f>
        <v>3</v>
      </c>
      <c r="D28" s="116" t="str">
        <f>IFERROR(VLOOKUP($B28,'NCA Players Doubles'!$Z:$AB,3,FALSE),IFERROR(VLOOKUP($B28,'NCA Players Doubles'!$AA:$AB,2,FALSE),""))</f>
        <v/>
      </c>
      <c r="E28" s="4" t="str">
        <f>IFERROR(VLOOKUP($B28,'NCA Players Singles'!$V:$W,2,FALSE),"")</f>
        <v/>
      </c>
      <c r="F28" s="24" t="str">
        <f>IFERROR(VLOOKUP($B28,Belleville!$U:$V,2,FALSE),"")</f>
        <v/>
      </c>
      <c r="G28" s="187" t="str">
        <f>IFERROR(VLOOKUP($B28,'Owen Sound'!$Z:$AA,2,FALSE),"")</f>
        <v/>
      </c>
      <c r="H28" s="187">
        <f>IFERROR(VLOOKUP($B28,ODCC!O:P,2,FALSE),"")</f>
        <v>41</v>
      </c>
      <c r="I28" s="187">
        <f>IFERROR(VLOOKUP($B28,Elmira!S:T,2,FALSE),"")</f>
        <v>33</v>
      </c>
      <c r="J28" s="187" t="str">
        <f>IFERROR(VLOOKUP($B28,Chatham!K:L,2,FALSE),"")</f>
        <v/>
      </c>
      <c r="K28" s="187" t="str">
        <f>IFERROR(VLOOKUP($B28,London!AM:AN,2,FALSE),"")</f>
        <v/>
      </c>
      <c r="L28" s="187">
        <f>IFERROR(VLOOKUP($B28,'US Open'!A:B,2,FALSE),"")</f>
        <v>43</v>
      </c>
      <c r="M28" s="25" t="str">
        <f>IFERROR(VLOOKUP($B28,'Ontario Singles'!A:B,2,FALSE),"")</f>
        <v/>
      </c>
      <c r="N28" s="10"/>
      <c r="O28" s="19">
        <f>IFERROR(LARGE(D28:M28,1),0)+IFERROR(LARGE(D28:M28,2),0)+IFERROR(LARGE(D28:M28,3),0)+IFERROR(LARGE(D28:M28,4),0)</f>
        <v>117</v>
      </c>
      <c r="P28" s="20">
        <f>SUM(D28:M28)/C28</f>
        <v>39</v>
      </c>
      <c r="S28" s="2"/>
      <c r="T28" s="36"/>
      <c r="U28" s="5"/>
    </row>
    <row r="29" spans="1:31" s="8" customFormat="1" ht="18.75" customHeight="1" thickBot="1">
      <c r="A29" s="15">
        <f>RANK(O29,O$5:O$197)</f>
        <v>25</v>
      </c>
      <c r="B29" s="23" t="s">
        <v>326</v>
      </c>
      <c r="C29" s="17">
        <f>COUNT(D29:M29)</f>
        <v>4</v>
      </c>
      <c r="D29" s="116" t="str">
        <f>IFERROR(VLOOKUP($B29,'NCA Players Doubles'!$Z:$AB,3,FALSE),IFERROR(VLOOKUP($B29,'NCA Players Doubles'!$AA:$AB,2,FALSE),""))</f>
        <v/>
      </c>
      <c r="E29" s="4" t="str">
        <f>IFERROR(VLOOKUP($B29,'NCA Players Singles'!$V:$W,2,FALSE),"")</f>
        <v/>
      </c>
      <c r="F29" s="26" t="str">
        <f>IFERROR(VLOOKUP($B29,Belleville!$U:$V,2,FALSE),"")</f>
        <v/>
      </c>
      <c r="G29" s="187" t="str">
        <f>IFERROR(VLOOKUP($B29,'Owen Sound'!$Z:$AA,2,FALSE),"")</f>
        <v/>
      </c>
      <c r="H29" s="187" t="str">
        <f>IFERROR(VLOOKUP($B29,ODCC!O:P,2,FALSE),"")</f>
        <v/>
      </c>
      <c r="I29" s="187">
        <f>IFERROR(VLOOKUP($B29,Elmira!S:T,2,FALSE),"")</f>
        <v>20</v>
      </c>
      <c r="J29" s="187">
        <f>IFERROR(VLOOKUP($B29,Chatham!K:L,2,FALSE),"")</f>
        <v>36</v>
      </c>
      <c r="K29" s="187">
        <f>IFERROR(VLOOKUP($B29,London!AM:AN,2,FALSE),"")</f>
        <v>27</v>
      </c>
      <c r="L29" s="187">
        <f>IFERROR(VLOOKUP($B29,'US Open'!A:B,2,FALSE),"")</f>
        <v>32</v>
      </c>
      <c r="M29" s="25" t="str">
        <f>IFERROR(VLOOKUP($B29,'Ontario Singles'!A:B,2,FALSE),"")</f>
        <v/>
      </c>
      <c r="N29" s="10"/>
      <c r="O29" s="19">
        <f>IFERROR(LARGE(D29:M29,1),0)+IFERROR(LARGE(D29:M29,2),0)+IFERROR(LARGE(D29:M29,3),0)+IFERROR(LARGE(D29:M29,4),0)</f>
        <v>115</v>
      </c>
      <c r="P29" s="20">
        <f>SUM(D29:M29)/C29</f>
        <v>28.75</v>
      </c>
      <c r="S29" s="2"/>
      <c r="T29" s="36"/>
      <c r="U29" s="5"/>
    </row>
    <row r="30" spans="1:31" s="8" customFormat="1" ht="18.75" customHeight="1" thickBot="1">
      <c r="A30" s="15">
        <f>RANK(O30,O$5:O$197)</f>
        <v>26</v>
      </c>
      <c r="B30" s="23" t="s">
        <v>54</v>
      </c>
      <c r="C30" s="17">
        <f>COUNT(D30:M30)</f>
        <v>6</v>
      </c>
      <c r="D30" s="116">
        <f>IFERROR(VLOOKUP($B30,'NCA Players Doubles'!$Z:$AB,3,FALSE),IFERROR(VLOOKUP($B30,'NCA Players Doubles'!$AA:$AB,2,FALSE),""))</f>
        <v>36</v>
      </c>
      <c r="E30" s="4">
        <f>IFERROR(VLOOKUP($B30,'NCA Players Singles'!$V:$W,2,FALSE),"")</f>
        <v>20</v>
      </c>
      <c r="F30" s="26" t="str">
        <f>IFERROR(VLOOKUP($B30,Belleville!$U:$V,2,FALSE),"")</f>
        <v/>
      </c>
      <c r="G30" s="187">
        <f>IFERROR(VLOOKUP($B30,'Owen Sound'!$Z:$AA,2,FALSE),"")</f>
        <v>21</v>
      </c>
      <c r="H30" s="187">
        <f>IFERROR(VLOOKUP($B30,ODCC!O:P,2,FALSE),"")</f>
        <v>32</v>
      </c>
      <c r="I30" s="187">
        <f>IFERROR(VLOOKUP($B30,Elmira!S:T,2,FALSE),"")</f>
        <v>20</v>
      </c>
      <c r="J30" s="187" t="str">
        <f>IFERROR(VLOOKUP($B30,Chatham!K:L,2,FALSE),"")</f>
        <v/>
      </c>
      <c r="K30" s="187" t="str">
        <f>IFERROR(VLOOKUP($B30,London!AM:AN,2,FALSE),"")</f>
        <v/>
      </c>
      <c r="L30" s="187" t="str">
        <f>IFERROR(VLOOKUP($B30,'US Open'!A:B,2,FALSE),"")</f>
        <v/>
      </c>
      <c r="M30" s="25">
        <f>IFERROR(VLOOKUP($B30,'Ontario Singles'!A:B,2,FALSE),"")</f>
        <v>20</v>
      </c>
      <c r="N30" s="30"/>
      <c r="O30" s="19">
        <f>IFERROR(LARGE(D30:M30,1),0)+IFERROR(LARGE(D30:M30,2),0)+IFERROR(LARGE(D30:M30,3),0)+IFERROR(LARGE(D30:M30,4),0)</f>
        <v>109</v>
      </c>
      <c r="P30" s="20">
        <f>SUM(D30:M30)/C30</f>
        <v>24.833333333333332</v>
      </c>
      <c r="Q30" s="21"/>
      <c r="R30" s="2"/>
      <c r="S30" s="2"/>
      <c r="T30" s="22"/>
      <c r="U30" s="34"/>
      <c r="V30" s="22"/>
      <c r="W30" s="10"/>
    </row>
    <row r="31" spans="1:31" s="8" customFormat="1" ht="18.75" customHeight="1" thickBot="1">
      <c r="A31" s="15">
        <f>RANK(O31,O$5:O$197)</f>
        <v>27</v>
      </c>
      <c r="B31" s="23" t="s">
        <v>27</v>
      </c>
      <c r="C31" s="17">
        <f>COUNT(D31:M31)</f>
        <v>7</v>
      </c>
      <c r="D31" s="116">
        <f>IFERROR(VLOOKUP($B31,'NCA Players Doubles'!$Z:$AB,3,FALSE),IFERROR(VLOOKUP($B31,'NCA Players Doubles'!$AA:$AB,2,FALSE),""))</f>
        <v>28</v>
      </c>
      <c r="E31" s="4">
        <f>IFERROR(VLOOKUP($B31,'NCA Players Singles'!$V:$W,2,FALSE),"")</f>
        <v>20</v>
      </c>
      <c r="F31" s="26">
        <f>IFERROR(VLOOKUP($B31,Belleville!$U:$V,2,FALSE),"")</f>
        <v>21</v>
      </c>
      <c r="G31" s="187" t="str">
        <f>IFERROR(VLOOKUP($B31,'Owen Sound'!$Z:$AA,2,FALSE),"")</f>
        <v/>
      </c>
      <c r="H31" s="187">
        <f>IFERROR(VLOOKUP($B31,ODCC!O:P,2,FALSE),"")</f>
        <v>29</v>
      </c>
      <c r="I31" s="187" t="str">
        <f>IFERROR(VLOOKUP($B31,Elmira!S:T,2,FALSE),"")</f>
        <v/>
      </c>
      <c r="J31" s="187">
        <f>IFERROR(VLOOKUP($B31,Chatham!K:L,2,FALSE),"")</f>
        <v>29</v>
      </c>
      <c r="K31" s="187">
        <f>IFERROR(VLOOKUP($B31,London!AM:AN,2,FALSE),"")</f>
        <v>21</v>
      </c>
      <c r="L31" s="187" t="str">
        <f>IFERROR(VLOOKUP($B31,'US Open'!A:B,2,FALSE),"")</f>
        <v/>
      </c>
      <c r="M31" s="25">
        <f>IFERROR(VLOOKUP($B31,'Ontario Singles'!A:B,2,FALSE),"")</f>
        <v>20</v>
      </c>
      <c r="N31" s="30"/>
      <c r="O31" s="19">
        <f>IFERROR(LARGE(D31:M31,1),0)+IFERROR(LARGE(D31:M31,2),0)+IFERROR(LARGE(D31:M31,3),0)+IFERROR(LARGE(D31:M31,4),0)</f>
        <v>107</v>
      </c>
      <c r="P31" s="20">
        <f>SUM(D31:M31)/C31</f>
        <v>24</v>
      </c>
      <c r="Q31" s="21"/>
      <c r="R31" s="2"/>
      <c r="S31" s="2"/>
      <c r="T31" s="22"/>
      <c r="U31" s="34"/>
      <c r="V31" s="22"/>
      <c r="W31" s="10"/>
    </row>
    <row r="32" spans="1:31" s="8" customFormat="1" ht="18.75" customHeight="1" thickBot="1">
      <c r="A32" s="15">
        <f>RANK(O32,O$5:O$197)</f>
        <v>27</v>
      </c>
      <c r="B32" s="23" t="s">
        <v>208</v>
      </c>
      <c r="C32" s="17">
        <f>COUNT(D32:M32)</f>
        <v>7</v>
      </c>
      <c r="D32" s="116" t="str">
        <f>IFERROR(VLOOKUP($B32,'NCA Players Doubles'!$Z:$AB,3,FALSE),IFERROR(VLOOKUP($B32,'NCA Players Doubles'!$AA:$AB,2,FALSE),""))</f>
        <v/>
      </c>
      <c r="E32" s="4" t="str">
        <f>IFERROR(VLOOKUP($B32,'NCA Players Singles'!$V:$W,2,FALSE),"")</f>
        <v/>
      </c>
      <c r="F32" s="26">
        <f>IFERROR(VLOOKUP($B32,Belleville!$U:$V,2,FALSE),"")</f>
        <v>20</v>
      </c>
      <c r="G32" s="187">
        <f>IFERROR(VLOOKUP($B32,'Owen Sound'!$Z:$AA,2,FALSE),"")</f>
        <v>21</v>
      </c>
      <c r="H32" s="187">
        <f>IFERROR(VLOOKUP($B32,ODCC!O:P,2,FALSE),"")</f>
        <v>35</v>
      </c>
      <c r="I32" s="187">
        <f>IFERROR(VLOOKUP($B32,Elmira!S:T,2,FALSE),"")</f>
        <v>22</v>
      </c>
      <c r="J32" s="187">
        <f>IFERROR(VLOOKUP($B32,Chatham!K:L,2,FALSE),"")</f>
        <v>27</v>
      </c>
      <c r="K32" s="187">
        <f>IFERROR(VLOOKUP($B32,London!AM:AN,2,FALSE),"")</f>
        <v>23</v>
      </c>
      <c r="L32" s="187" t="str">
        <f>IFERROR(VLOOKUP($B32,'US Open'!A:B,2,FALSE),"")</f>
        <v/>
      </c>
      <c r="M32" s="25">
        <f>IFERROR(VLOOKUP($B32,'Ontario Singles'!A:B,2,FALSE),"")</f>
        <v>20</v>
      </c>
      <c r="N32" s="30"/>
      <c r="O32" s="19">
        <f>IFERROR(LARGE(D32:M32,1),0)+IFERROR(LARGE(D32:M32,2),0)+IFERROR(LARGE(D32:M32,3),0)+IFERROR(LARGE(D32:M32,4),0)</f>
        <v>107</v>
      </c>
      <c r="P32" s="20">
        <f>SUM(D32:M32)/C32</f>
        <v>24</v>
      </c>
      <c r="R32" s="2"/>
      <c r="S32" s="2"/>
      <c r="T32" s="36"/>
      <c r="U32" s="5"/>
    </row>
    <row r="33" spans="1:28" s="8" customFormat="1" ht="18.75" customHeight="1" thickBot="1">
      <c r="A33" s="15">
        <f>RANK(O33,O$5:O$197)</f>
        <v>27</v>
      </c>
      <c r="B33" s="23" t="s">
        <v>280</v>
      </c>
      <c r="C33" s="17">
        <f>COUNT(D33:M33)</f>
        <v>3</v>
      </c>
      <c r="D33" s="116" t="str">
        <f>IFERROR(VLOOKUP($B33,'NCA Players Doubles'!$Z:$AB,3,FALSE),IFERROR(VLOOKUP($B33,'NCA Players Doubles'!$AA:$AB,2,FALSE),""))</f>
        <v/>
      </c>
      <c r="E33" s="4" t="str">
        <f>IFERROR(VLOOKUP($B33,'NCA Players Singles'!$V:$W,2,FALSE),"")</f>
        <v/>
      </c>
      <c r="F33" s="26" t="str">
        <f>IFERROR(VLOOKUP($B33,Belleville!$U:$V,2,FALSE),"")</f>
        <v/>
      </c>
      <c r="G33" s="187" t="str">
        <f>IFERROR(VLOOKUP($B33,'Owen Sound'!$Z:$AA,2,FALSE),"")</f>
        <v/>
      </c>
      <c r="H33" s="187">
        <f>IFERROR(VLOOKUP($B33,ODCC!O:P,2,FALSE),"")</f>
        <v>40</v>
      </c>
      <c r="I33" s="187">
        <f>IFERROR(VLOOKUP($B33,Elmira!S:T,2,FALSE),"")</f>
        <v>35</v>
      </c>
      <c r="J33" s="187" t="str">
        <f>IFERROR(VLOOKUP($B33,Chatham!K:L,2,FALSE),"")</f>
        <v/>
      </c>
      <c r="K33" s="187">
        <f>IFERROR(VLOOKUP($B33,London!AM:AN,2,FALSE),"")</f>
        <v>32</v>
      </c>
      <c r="L33" s="187" t="str">
        <f>IFERROR(VLOOKUP($B33,'US Open'!A:B,2,FALSE),"")</f>
        <v/>
      </c>
      <c r="M33" s="25" t="str">
        <f>IFERROR(VLOOKUP($B33,'Ontario Singles'!A:B,2,FALSE),"")</f>
        <v/>
      </c>
      <c r="N33" s="30"/>
      <c r="O33" s="19">
        <f>IFERROR(LARGE(D33:M33,1),0)+IFERROR(LARGE(D33:M33,2),0)+IFERROR(LARGE(D33:M33,3),0)+IFERROR(LARGE(D33:M33,4),0)</f>
        <v>107</v>
      </c>
      <c r="P33" s="20">
        <f>SUM(D33:M33)/C33</f>
        <v>35.666666666666664</v>
      </c>
      <c r="S33" s="2"/>
      <c r="T33" s="36"/>
      <c r="U33" s="5"/>
    </row>
    <row r="34" spans="1:28" s="8" customFormat="1" ht="18.75" customHeight="1" thickBot="1">
      <c r="A34" s="15">
        <f>RANK(O34,O$5:O$197)</f>
        <v>30</v>
      </c>
      <c r="B34" s="23" t="s">
        <v>7</v>
      </c>
      <c r="C34" s="17">
        <f>COUNT(D34:M34)</f>
        <v>3</v>
      </c>
      <c r="D34" s="116">
        <f>IFERROR(VLOOKUP($B34,'NCA Players Doubles'!$Z:$AB,3,FALSE),IFERROR(VLOOKUP($B34,'NCA Players Doubles'!$AA:$AB,2,FALSE),""))</f>
        <v>32</v>
      </c>
      <c r="E34" s="4">
        <f>IFERROR(VLOOKUP($B34,'NCA Players Singles'!$V:$W,2,FALSE),"")</f>
        <v>35</v>
      </c>
      <c r="F34" s="26">
        <f>IFERROR(VLOOKUP($B34,Belleville!$U:$V,2,FALSE),"")</f>
        <v>38</v>
      </c>
      <c r="G34" s="187" t="str">
        <f>IFERROR(VLOOKUP($B34,'Owen Sound'!$Z:$AA,2,FALSE),"")</f>
        <v/>
      </c>
      <c r="H34" s="187" t="str">
        <f>IFERROR(VLOOKUP($B34,ODCC!O:P,2,FALSE),"")</f>
        <v/>
      </c>
      <c r="I34" s="187" t="str">
        <f>IFERROR(VLOOKUP($B34,Elmira!S:T,2,FALSE),"")</f>
        <v/>
      </c>
      <c r="J34" s="187" t="str">
        <f>IFERROR(VLOOKUP($B34,Chatham!K:L,2,FALSE),"")</f>
        <v/>
      </c>
      <c r="K34" s="187" t="str">
        <f>IFERROR(VLOOKUP($B34,London!AM:AN,2,FALSE),"")</f>
        <v/>
      </c>
      <c r="L34" s="187" t="str">
        <f>IFERROR(VLOOKUP($B34,'US Open'!A:B,2,FALSE),"")</f>
        <v/>
      </c>
      <c r="M34" s="25" t="str">
        <f>IFERROR(VLOOKUP($B34,'Ontario Singles'!A:B,2,FALSE),"")</f>
        <v/>
      </c>
      <c r="N34" s="30"/>
      <c r="O34" s="19">
        <f>IFERROR(LARGE(D34:M34,1),0)+IFERROR(LARGE(D34:M34,2),0)+IFERROR(LARGE(D34:M34,3),0)+IFERROR(LARGE(D34:M34,4),0)</f>
        <v>105</v>
      </c>
      <c r="P34" s="20">
        <f>SUM(D34:M34)/C34</f>
        <v>35</v>
      </c>
      <c r="Q34" s="21"/>
      <c r="T34" s="27"/>
      <c r="U34" s="28"/>
      <c r="V34" s="22"/>
      <c r="W34" s="10"/>
    </row>
    <row r="35" spans="1:28" s="8" customFormat="1" ht="18.75" customHeight="1" thickBot="1">
      <c r="A35" s="15">
        <f>RANK(O35,O$5:O$197)</f>
        <v>30</v>
      </c>
      <c r="B35" s="23" t="s">
        <v>40</v>
      </c>
      <c r="C35" s="17">
        <f>COUNT(D35:M35)</f>
        <v>5</v>
      </c>
      <c r="D35" s="116">
        <f>IFERROR(VLOOKUP($B35,'NCA Players Doubles'!$Z:$AB,3,FALSE),IFERROR(VLOOKUP($B35,'NCA Players Doubles'!$AA:$AB,2,FALSE),""))</f>
        <v>39</v>
      </c>
      <c r="E35" s="4">
        <f>IFERROR(VLOOKUP($B35,'NCA Players Singles'!$V:$W,2,FALSE),"")</f>
        <v>20</v>
      </c>
      <c r="F35" s="24" t="str">
        <f>IFERROR(VLOOKUP($B35,Belleville!$U:$V,2,FALSE),"")</f>
        <v/>
      </c>
      <c r="G35" s="187" t="str">
        <f>IFERROR(VLOOKUP($B35,'Owen Sound'!$Z:$AA,2,FALSE),"")</f>
        <v/>
      </c>
      <c r="H35" s="187" t="str">
        <f>IFERROR(VLOOKUP($B35,ODCC!O:P,2,FALSE),"")</f>
        <v/>
      </c>
      <c r="I35" s="187">
        <f>IFERROR(VLOOKUP($B35,Elmira!S:T,2,FALSE),"")</f>
        <v>20</v>
      </c>
      <c r="J35" s="187" t="str">
        <f>IFERROR(VLOOKUP($B35,Chatham!K:L,2,FALSE),"")</f>
        <v/>
      </c>
      <c r="K35" s="187">
        <f>IFERROR(VLOOKUP($B35,London!AM:AN,2,FALSE),"")</f>
        <v>26</v>
      </c>
      <c r="L35" s="187" t="str">
        <f>IFERROR(VLOOKUP($B35,'US Open'!A:B,2,FALSE),"")</f>
        <v/>
      </c>
      <c r="M35" s="25">
        <f>IFERROR(VLOOKUP($B35,'Ontario Singles'!A:B,2,FALSE),"")</f>
        <v>20</v>
      </c>
      <c r="N35" s="30"/>
      <c r="O35" s="19">
        <f>IFERROR(LARGE(D35:M35,1),0)+IFERROR(LARGE(D35:M35,2),0)+IFERROR(LARGE(D35:M35,3),0)+IFERROR(LARGE(D35:M35,4),0)</f>
        <v>105</v>
      </c>
      <c r="P35" s="20">
        <f>SUM(D35:M35)/C35</f>
        <v>25</v>
      </c>
      <c r="Q35" s="21"/>
      <c r="R35" s="2"/>
      <c r="S35" s="2"/>
      <c r="T35" s="22"/>
      <c r="U35" s="34"/>
      <c r="V35" s="22"/>
      <c r="W35" s="10"/>
    </row>
    <row r="36" spans="1:28" s="8" customFormat="1" ht="18.75" customHeight="1" thickBot="1">
      <c r="A36" s="15">
        <f>RANK(O36,O$5:O$197)</f>
        <v>32</v>
      </c>
      <c r="B36" s="23" t="s">
        <v>32</v>
      </c>
      <c r="C36" s="17">
        <f>COUNT(D36:M36)</f>
        <v>4</v>
      </c>
      <c r="D36" s="116">
        <f>IFERROR(VLOOKUP($B36,'NCA Players Doubles'!$Z:$AB,3,FALSE),IFERROR(VLOOKUP($B36,'NCA Players Doubles'!$AA:$AB,2,FALSE),""))</f>
        <v>31</v>
      </c>
      <c r="E36" s="4">
        <f>IFERROR(VLOOKUP($B36,'NCA Players Singles'!$V:$W,2,FALSE),"")</f>
        <v>20</v>
      </c>
      <c r="F36" s="26">
        <f>IFERROR(VLOOKUP($B36,Belleville!$U:$V,2,FALSE),"")</f>
        <v>27</v>
      </c>
      <c r="G36" s="187">
        <f>IFERROR(VLOOKUP($B36,'Owen Sound'!$Z:$AA,2,FALSE),"")</f>
        <v>22</v>
      </c>
      <c r="H36" s="187" t="str">
        <f>IFERROR(VLOOKUP($B36,ODCC!O:P,2,FALSE),"")</f>
        <v/>
      </c>
      <c r="I36" s="187" t="str">
        <f>IFERROR(VLOOKUP($B36,Elmira!S:T,2,FALSE),"")</f>
        <v/>
      </c>
      <c r="J36" s="187" t="str">
        <f>IFERROR(VLOOKUP($B36,Chatham!K:L,2,FALSE),"")</f>
        <v/>
      </c>
      <c r="K36" s="187" t="str">
        <f>IFERROR(VLOOKUP($B36,London!AM:AN,2,FALSE),"")</f>
        <v/>
      </c>
      <c r="L36" s="187" t="str">
        <f>IFERROR(VLOOKUP($B36,'US Open'!A:B,2,FALSE),"")</f>
        <v/>
      </c>
      <c r="M36" s="25" t="str">
        <f>IFERROR(VLOOKUP($B36,'Ontario Singles'!A:B,2,FALSE),"")</f>
        <v/>
      </c>
      <c r="N36" s="30"/>
      <c r="O36" s="19">
        <f>IFERROR(LARGE(D36:M36,1),0)+IFERROR(LARGE(D36:M36,2),0)+IFERROR(LARGE(D36:M36,3),0)+IFERROR(LARGE(D36:M36,4),0)</f>
        <v>100</v>
      </c>
      <c r="P36" s="20">
        <f>SUM(D36:M36)/C36</f>
        <v>25</v>
      </c>
      <c r="Q36" s="21"/>
      <c r="R36" s="10"/>
      <c r="S36" s="35"/>
      <c r="T36" s="10"/>
      <c r="U36" s="10"/>
      <c r="V36" s="10"/>
      <c r="W36" s="10"/>
      <c r="X36" s="10"/>
      <c r="Y36" s="10"/>
      <c r="Z36" s="10"/>
      <c r="AA36" s="10"/>
      <c r="AB36" s="10"/>
    </row>
    <row r="37" spans="1:28" s="8" customFormat="1" ht="18.75" customHeight="1" thickBot="1">
      <c r="A37" s="15">
        <f>RANK(O37,O$5:O$197)</f>
        <v>33</v>
      </c>
      <c r="B37" s="23" t="s">
        <v>45</v>
      </c>
      <c r="C37" s="17">
        <f>COUNT(D37:M37)</f>
        <v>4</v>
      </c>
      <c r="D37" s="116">
        <f>IFERROR(VLOOKUP($B37,'NCA Players Doubles'!$Z:$AB,3,FALSE),IFERROR(VLOOKUP($B37,'NCA Players Doubles'!$AA:$AB,2,FALSE),""))</f>
        <v>35</v>
      </c>
      <c r="E37" s="4">
        <f>IFERROR(VLOOKUP($B37,'NCA Players Singles'!$V:$W,2,FALSE),"")</f>
        <v>24</v>
      </c>
      <c r="F37" s="33">
        <f>IFERROR(VLOOKUP($B37,Belleville!$U:$V,2,FALSE),"")</f>
        <v>20</v>
      </c>
      <c r="G37" s="187" t="str">
        <f>IFERROR(VLOOKUP($B37,'Owen Sound'!$Z:$AA,2,FALSE),"")</f>
        <v/>
      </c>
      <c r="H37" s="187" t="str">
        <f>IFERROR(VLOOKUP($B37,ODCC!O:P,2,FALSE),"")</f>
        <v/>
      </c>
      <c r="I37" s="187" t="str">
        <f>IFERROR(VLOOKUP($B37,Elmira!S:T,2,FALSE),"")</f>
        <v/>
      </c>
      <c r="J37" s="187" t="str">
        <f>IFERROR(VLOOKUP($B37,Chatham!K:L,2,FALSE),"")</f>
        <v/>
      </c>
      <c r="K37" s="187">
        <f>IFERROR(VLOOKUP($B37,London!AM:AN,2,FALSE),"")</f>
        <v>20</v>
      </c>
      <c r="L37" s="187" t="str">
        <f>IFERROR(VLOOKUP($B37,'US Open'!A:B,2,FALSE),"")</f>
        <v/>
      </c>
      <c r="M37" s="25" t="str">
        <f>IFERROR(VLOOKUP($B37,'Ontario Singles'!A:B,2,FALSE),"")</f>
        <v/>
      </c>
      <c r="N37" s="30"/>
      <c r="O37" s="19">
        <f>IFERROR(LARGE(D37:M37,1),0)+IFERROR(LARGE(D37:M37,2),0)+IFERROR(LARGE(D37:M37,3),0)+IFERROR(LARGE(D37:M37,4),0)</f>
        <v>99</v>
      </c>
      <c r="P37" s="20">
        <f>SUM(D37:M37)/C37</f>
        <v>24.75</v>
      </c>
      <c r="Q37" s="21"/>
      <c r="R37" s="2"/>
      <c r="S37" s="10"/>
      <c r="T37" s="27"/>
      <c r="U37" s="10"/>
      <c r="V37" s="22"/>
      <c r="W37" s="10"/>
    </row>
    <row r="38" spans="1:28" s="8" customFormat="1" ht="18.75" customHeight="1" thickBot="1">
      <c r="A38" s="15">
        <f>RANK(O38,O$5:O$197)</f>
        <v>34</v>
      </c>
      <c r="B38" s="23" t="s">
        <v>33</v>
      </c>
      <c r="C38" s="17">
        <f>COUNT(D38:M38)</f>
        <v>3</v>
      </c>
      <c r="D38" s="116">
        <f>IFERROR(VLOOKUP($B38,'NCA Players Doubles'!$Z:$AB,3,FALSE),IFERROR(VLOOKUP($B38,'NCA Players Doubles'!$AA:$AB,2,FALSE),""))</f>
        <v>31</v>
      </c>
      <c r="E38" s="4">
        <f>IFERROR(VLOOKUP($B38,'NCA Players Singles'!$V:$W,2,FALSE),"")</f>
        <v>20</v>
      </c>
      <c r="F38" s="31" t="str">
        <f>IFERROR(VLOOKUP($B38,Belleville!$U:$V,2,FALSE),"")</f>
        <v/>
      </c>
      <c r="G38" s="187">
        <f>IFERROR(VLOOKUP($B38,'Owen Sound'!$Z:$AA,2,FALSE),"")</f>
        <v>45</v>
      </c>
      <c r="H38" s="187" t="str">
        <f>IFERROR(VLOOKUP($B38,ODCC!O:P,2,FALSE),"")</f>
        <v/>
      </c>
      <c r="I38" s="187" t="str">
        <f>IFERROR(VLOOKUP($B38,Elmira!S:T,2,FALSE),"")</f>
        <v/>
      </c>
      <c r="J38" s="187" t="str">
        <f>IFERROR(VLOOKUP($B38,Chatham!K:L,2,FALSE),"")</f>
        <v/>
      </c>
      <c r="K38" s="187" t="str">
        <f>IFERROR(VLOOKUP($B38,London!AM:AN,2,FALSE),"")</f>
        <v/>
      </c>
      <c r="L38" s="187" t="str">
        <f>IFERROR(VLOOKUP($B38,'US Open'!A:B,2,FALSE),"")</f>
        <v/>
      </c>
      <c r="M38" s="25" t="str">
        <f>IFERROR(VLOOKUP($B38,'Ontario Singles'!A:B,2,FALSE),"")</f>
        <v/>
      </c>
      <c r="N38" s="30"/>
      <c r="O38" s="19">
        <f>IFERROR(LARGE(D38:M38,1),0)+IFERROR(LARGE(D38:M38,2),0)+IFERROR(LARGE(D38:M38,3),0)+IFERROR(LARGE(D38:M38,4),0)</f>
        <v>96</v>
      </c>
      <c r="P38" s="20">
        <f>SUM(D38:M38)/C38</f>
        <v>32</v>
      </c>
      <c r="Q38" s="21"/>
      <c r="R38" s="2"/>
      <c r="S38" s="2"/>
      <c r="T38" s="36"/>
      <c r="U38" s="10"/>
      <c r="V38" s="36"/>
      <c r="W38" s="10"/>
    </row>
    <row r="39" spans="1:28" s="8" customFormat="1" ht="18.75" customHeight="1" thickBot="1">
      <c r="A39" s="15">
        <f>RANK(O39,O$5:O$197)</f>
        <v>34</v>
      </c>
      <c r="B39" s="23" t="s">
        <v>279</v>
      </c>
      <c r="C39" s="17">
        <f>COUNT(D39:M39)</f>
        <v>3</v>
      </c>
      <c r="D39" s="116" t="str">
        <f>IFERROR(VLOOKUP($B39,'NCA Players Doubles'!$Z:$AB,3,FALSE),IFERROR(VLOOKUP($B39,'NCA Players Doubles'!$AA:$AB,2,FALSE),""))</f>
        <v/>
      </c>
      <c r="E39" s="4" t="str">
        <f>IFERROR(VLOOKUP($B39,'NCA Players Singles'!$V:$W,2,FALSE),"")</f>
        <v/>
      </c>
      <c r="F39" s="33" t="str">
        <f>IFERROR(VLOOKUP($B39,Belleville!$U:$V,2,FALSE),"")</f>
        <v/>
      </c>
      <c r="G39" s="187" t="str">
        <f>IFERROR(VLOOKUP($B39,'Owen Sound'!$Z:$AA,2,FALSE),"")</f>
        <v/>
      </c>
      <c r="H39" s="187">
        <f>IFERROR(VLOOKUP($B39,ODCC!O:P,2,FALSE),"")</f>
        <v>40</v>
      </c>
      <c r="I39" s="187">
        <f>IFERROR(VLOOKUP($B39,Elmira!S:T,2,FALSE),"")</f>
        <v>29</v>
      </c>
      <c r="J39" s="187" t="str">
        <f>IFERROR(VLOOKUP($B39,Chatham!K:L,2,FALSE),"")</f>
        <v/>
      </c>
      <c r="K39" s="187">
        <f>IFERROR(VLOOKUP($B39,London!AM:AN,2,FALSE),"")</f>
        <v>27</v>
      </c>
      <c r="L39" s="187" t="str">
        <f>IFERROR(VLOOKUP($B39,'US Open'!A:B,2,FALSE),"")</f>
        <v/>
      </c>
      <c r="M39" s="25" t="str">
        <f>IFERROR(VLOOKUP($B39,'Ontario Singles'!A:B,2,FALSE),"")</f>
        <v/>
      </c>
      <c r="N39" s="30"/>
      <c r="O39" s="19">
        <f>IFERROR(LARGE(D39:M39,1),0)+IFERROR(LARGE(D39:M39,2),0)+IFERROR(LARGE(D39:M39,3),0)+IFERROR(LARGE(D39:M39,4),0)</f>
        <v>96</v>
      </c>
      <c r="P39" s="20">
        <f>SUM(D39:M39)/C39</f>
        <v>32</v>
      </c>
      <c r="S39" s="2"/>
      <c r="T39" s="36"/>
      <c r="U39" s="5"/>
    </row>
    <row r="40" spans="1:28" s="8" customFormat="1" ht="18.75" customHeight="1" thickBot="1">
      <c r="A40" s="15">
        <f>RANK(O40,O$5:O$197)</f>
        <v>36</v>
      </c>
      <c r="B40" s="23" t="s">
        <v>52</v>
      </c>
      <c r="C40" s="17">
        <f>COUNT(D40:M40)</f>
        <v>3</v>
      </c>
      <c r="D40" s="116">
        <f>IFERROR(VLOOKUP($B40,'NCA Players Doubles'!$Z:$AB,3,FALSE),IFERROR(VLOOKUP($B40,'NCA Players Doubles'!$AA:$AB,2,FALSE),""))</f>
        <v>37</v>
      </c>
      <c r="E40" s="4">
        <f>IFERROR(VLOOKUP($B40,'NCA Players Singles'!$V:$W,2,FALSE),"")</f>
        <v>20</v>
      </c>
      <c r="F40" s="26" t="str">
        <f>IFERROR(VLOOKUP($B40,Belleville!$U:$V,2,FALSE),"")</f>
        <v/>
      </c>
      <c r="G40" s="187" t="str">
        <f>IFERROR(VLOOKUP($B40,'Owen Sound'!$Z:$AA,2,FALSE),"")</f>
        <v/>
      </c>
      <c r="H40" s="187">
        <f>IFERROR(VLOOKUP($B40,ODCC!O:P,2,FALSE),"")</f>
        <v>38</v>
      </c>
      <c r="I40" s="187" t="str">
        <f>IFERROR(VLOOKUP($B40,Elmira!S:T,2,FALSE),"")</f>
        <v/>
      </c>
      <c r="J40" s="187" t="str">
        <f>IFERROR(VLOOKUP($B40,Chatham!K:L,2,FALSE),"")</f>
        <v/>
      </c>
      <c r="K40" s="187" t="str">
        <f>IFERROR(VLOOKUP($B40,London!AM:AN,2,FALSE),"")</f>
        <v/>
      </c>
      <c r="L40" s="187" t="str">
        <f>IFERROR(VLOOKUP($B40,'US Open'!A:B,2,FALSE),"")</f>
        <v/>
      </c>
      <c r="M40" s="25" t="str">
        <f>IFERROR(VLOOKUP($B40,'Ontario Singles'!A:B,2,FALSE),"")</f>
        <v/>
      </c>
      <c r="N40" s="30"/>
      <c r="O40" s="19">
        <f>IFERROR(LARGE(D40:M40,1),0)+IFERROR(LARGE(D40:M40,2),0)+IFERROR(LARGE(D40:M40,3),0)+IFERROR(LARGE(D40:M40,4),0)</f>
        <v>95</v>
      </c>
      <c r="P40" s="20">
        <f>SUM(D40:M40)/C40</f>
        <v>31.666666666666668</v>
      </c>
      <c r="Q40" s="21"/>
      <c r="R40" s="2"/>
      <c r="S40" s="2"/>
      <c r="T40" s="22"/>
      <c r="U40" s="34"/>
      <c r="V40" s="22"/>
      <c r="W40" s="10"/>
    </row>
    <row r="41" spans="1:28" s="8" customFormat="1" ht="18.75" customHeight="1" thickBot="1">
      <c r="A41" s="15">
        <f>RANK(O41,O$5:O$197)</f>
        <v>37</v>
      </c>
      <c r="B41" s="23" t="s">
        <v>125</v>
      </c>
      <c r="C41" s="17">
        <f>COUNT(D41:M41)</f>
        <v>4</v>
      </c>
      <c r="D41" s="116">
        <f>IFERROR(VLOOKUP($B41,'NCA Players Doubles'!$Z:$AB,3,FALSE),IFERROR(VLOOKUP($B41,'NCA Players Doubles'!$AA:$AB,2,FALSE),""))</f>
        <v>25</v>
      </c>
      <c r="E41" s="4">
        <f>IFERROR(VLOOKUP($B41,'NCA Players Singles'!$V:$W,2,FALSE),"")</f>
        <v>20</v>
      </c>
      <c r="F41" s="33" t="str">
        <f>IFERROR(VLOOKUP($B41,Belleville!$U:$V,2,FALSE),"")</f>
        <v/>
      </c>
      <c r="G41" s="187" t="str">
        <f>IFERROR(VLOOKUP($B41,'Owen Sound'!$Z:$AA,2,FALSE),"")</f>
        <v/>
      </c>
      <c r="H41" s="187" t="str">
        <f>IFERROR(VLOOKUP($B41,ODCC!O:P,2,FALSE),"")</f>
        <v/>
      </c>
      <c r="I41" s="187">
        <f>IFERROR(VLOOKUP($B41,Elmira!S:T,2,FALSE),"")</f>
        <v>20</v>
      </c>
      <c r="J41" s="187" t="str">
        <f>IFERROR(VLOOKUP($B41,Chatham!K:L,2,FALSE),"")</f>
        <v/>
      </c>
      <c r="K41" s="187">
        <f>IFERROR(VLOOKUP($B41,London!AM:AN,2,FALSE),"")</f>
        <v>25</v>
      </c>
      <c r="L41" s="187" t="str">
        <f>IFERROR(VLOOKUP($B41,'US Open'!A:B,2,FALSE),"")</f>
        <v/>
      </c>
      <c r="M41" s="25" t="str">
        <f>IFERROR(VLOOKUP($B41,'Ontario Singles'!A:B,2,FALSE),"")</f>
        <v/>
      </c>
      <c r="N41" s="37"/>
      <c r="O41" s="19">
        <f>IFERROR(LARGE(D41:M41,1),0)+IFERROR(LARGE(D41:M41,2),0)+IFERROR(LARGE(D41:M41,3),0)+IFERROR(LARGE(D41:M41,4),0)</f>
        <v>90</v>
      </c>
      <c r="P41" s="20">
        <f>SUM(D41:M41)/C41</f>
        <v>22.5</v>
      </c>
      <c r="Q41" s="21"/>
      <c r="R41" s="21"/>
      <c r="S41" s="35"/>
      <c r="T41" s="21"/>
      <c r="U41" s="21"/>
      <c r="V41" s="21"/>
      <c r="W41" s="21"/>
      <c r="X41" s="21"/>
      <c r="Y41" s="21"/>
      <c r="Z41" s="21"/>
      <c r="AA41" s="21"/>
      <c r="AB41" s="10"/>
    </row>
    <row r="42" spans="1:28" s="8" customFormat="1" ht="18.75" customHeight="1" thickBot="1">
      <c r="A42" s="15">
        <f>RANK(O42,O$5:O$197)</f>
        <v>38</v>
      </c>
      <c r="B42" s="23" t="s">
        <v>217</v>
      </c>
      <c r="C42" s="17">
        <f>COUNT(D42:M42)</f>
        <v>3</v>
      </c>
      <c r="D42" s="116" t="str">
        <f>IFERROR(VLOOKUP($B42,'NCA Players Doubles'!$Z:$AB,3,FALSE),IFERROR(VLOOKUP($B42,'NCA Players Doubles'!$AA:$AB,2,FALSE),""))</f>
        <v/>
      </c>
      <c r="E42" s="4" t="str">
        <f>IFERROR(VLOOKUP($B42,'NCA Players Singles'!$V:$W,2,FALSE),"")</f>
        <v/>
      </c>
      <c r="F42" s="33">
        <f>IFERROR(VLOOKUP($B42,Belleville!$U:$V,2,FALSE),"")</f>
        <v>32</v>
      </c>
      <c r="G42" s="187">
        <f>IFERROR(VLOOKUP($B42,'Owen Sound'!$Z:$AA,2,FALSE),"")</f>
        <v>33</v>
      </c>
      <c r="H42" s="187" t="str">
        <f>IFERROR(VLOOKUP($B42,ODCC!O:P,2,FALSE),"")</f>
        <v/>
      </c>
      <c r="I42" s="187">
        <f>IFERROR(VLOOKUP($B42,Elmira!S:T,2,FALSE),"")</f>
        <v>23</v>
      </c>
      <c r="J42" s="187" t="str">
        <f>IFERROR(VLOOKUP($B42,Chatham!K:L,2,FALSE),"")</f>
        <v/>
      </c>
      <c r="K42" s="187" t="str">
        <f>IFERROR(VLOOKUP($B42,London!AM:AN,2,FALSE),"")</f>
        <v/>
      </c>
      <c r="L42" s="187" t="str">
        <f>IFERROR(VLOOKUP($B42,'US Open'!A:B,2,FALSE),"")</f>
        <v/>
      </c>
      <c r="M42" s="25" t="str">
        <f>IFERROR(VLOOKUP($B42,'Ontario Singles'!A:B,2,FALSE),"")</f>
        <v/>
      </c>
      <c r="N42" s="37"/>
      <c r="O42" s="19">
        <f>IFERROR(LARGE(D42:M42,1),0)+IFERROR(LARGE(D42:M42,2),0)+IFERROR(LARGE(D42:M42,3),0)+IFERROR(LARGE(D42:M42,4),0)</f>
        <v>88</v>
      </c>
      <c r="P42" s="20">
        <f>SUM(D42:M42)/C42</f>
        <v>29.333333333333332</v>
      </c>
      <c r="R42" s="2"/>
      <c r="S42" s="2"/>
      <c r="T42" s="22"/>
      <c r="U42" s="2"/>
      <c r="V42" s="10"/>
      <c r="W42" s="10"/>
    </row>
    <row r="43" spans="1:28" s="8" customFormat="1" ht="18.75" customHeight="1" thickBot="1">
      <c r="A43" s="15">
        <f>RANK(O43,O$5:O$197)</f>
        <v>39</v>
      </c>
      <c r="B43" s="23" t="s">
        <v>173</v>
      </c>
      <c r="C43" s="17">
        <f>COUNT(D43:M43)</f>
        <v>3</v>
      </c>
      <c r="D43" s="116">
        <f>IFERROR(VLOOKUP($B43,'NCA Players Doubles'!$Z:$AB,3,FALSE),IFERROR(VLOOKUP($B43,'NCA Players Doubles'!$AA:$AB,2,FALSE),""))</f>
        <v>28</v>
      </c>
      <c r="E43" s="4">
        <f>IFERROR(VLOOKUP($B43,'NCA Players Singles'!$V:$W,2,FALSE),"")</f>
        <v>26</v>
      </c>
      <c r="F43" s="33" t="str">
        <f>IFERROR(VLOOKUP($B43,Belleville!$U:$V,2,FALSE),"")</f>
        <v/>
      </c>
      <c r="G43" s="187">
        <f>IFERROR(VLOOKUP($B43,'Owen Sound'!$Z:$AA,2,FALSE),"")</f>
        <v>31</v>
      </c>
      <c r="H43" s="187" t="str">
        <f>IFERROR(VLOOKUP($B43,ODCC!O:P,2,FALSE),"")</f>
        <v/>
      </c>
      <c r="I43" s="187" t="str">
        <f>IFERROR(VLOOKUP($B43,Elmira!S:T,2,FALSE),"")</f>
        <v/>
      </c>
      <c r="J43" s="187" t="str">
        <f>IFERROR(VLOOKUP($B43,Chatham!K:L,2,FALSE),"")</f>
        <v/>
      </c>
      <c r="K43" s="187" t="str">
        <f>IFERROR(VLOOKUP($B43,London!AM:AN,2,FALSE),"")</f>
        <v/>
      </c>
      <c r="L43" s="187" t="str">
        <f>IFERROR(VLOOKUP($B43,'US Open'!A:B,2,FALSE),"")</f>
        <v/>
      </c>
      <c r="M43" s="25" t="str">
        <f>IFERROR(VLOOKUP($B43,'Ontario Singles'!A:B,2,FALSE),"")</f>
        <v/>
      </c>
      <c r="N43" s="30"/>
      <c r="O43" s="19">
        <f>IFERROR(LARGE(D43:M43,1),0)+IFERROR(LARGE(D43:M43,2),0)+IFERROR(LARGE(D43:M43,3),0)+IFERROR(LARGE(D43:M43,4),0)</f>
        <v>85</v>
      </c>
      <c r="P43" s="20">
        <f>SUM(D43:M43)/C43</f>
        <v>28.333333333333332</v>
      </c>
      <c r="Q43" s="21"/>
    </row>
    <row r="44" spans="1:28" s="8" customFormat="1" ht="18.75" customHeight="1" thickBot="1">
      <c r="A44" s="15">
        <f>RANK(O44,O$5:O$197)</f>
        <v>40</v>
      </c>
      <c r="B44" s="23" t="s">
        <v>22</v>
      </c>
      <c r="C44" s="17">
        <f>COUNT(D44:M44)</f>
        <v>2</v>
      </c>
      <c r="D44" s="116" t="str">
        <f>IFERROR(VLOOKUP($B44,'NCA Players Doubles'!$Z:$AB,3,FALSE),IFERROR(VLOOKUP($B44,'NCA Players Doubles'!$AA:$AB,2,FALSE),""))</f>
        <v/>
      </c>
      <c r="E44" s="4">
        <f>IFERROR(VLOOKUP($B44,'NCA Players Singles'!$V:$W,2,FALSE),"")</f>
        <v>39</v>
      </c>
      <c r="F44" s="24" t="str">
        <f>IFERROR(VLOOKUP($B44,Belleville!$U:$V,2,FALSE),"")</f>
        <v/>
      </c>
      <c r="G44" s="187" t="str">
        <f>IFERROR(VLOOKUP($B44,'Owen Sound'!$Z:$AA,2,FALSE),"")</f>
        <v/>
      </c>
      <c r="H44" s="187" t="str">
        <f>IFERROR(VLOOKUP($B44,ODCC!O:P,2,FALSE),"")</f>
        <v/>
      </c>
      <c r="I44" s="187" t="str">
        <f>IFERROR(VLOOKUP($B44,Elmira!S:T,2,FALSE),"")</f>
        <v/>
      </c>
      <c r="J44" s="187" t="str">
        <f>IFERROR(VLOOKUP($B44,Chatham!K:L,2,FALSE),"")</f>
        <v/>
      </c>
      <c r="K44" s="187" t="str">
        <f>IFERROR(VLOOKUP($B44,London!AM:AN,2,FALSE),"")</f>
        <v/>
      </c>
      <c r="L44" s="187" t="str">
        <f>IFERROR(VLOOKUP($B44,'US Open'!A:B,2,FALSE),"")</f>
        <v/>
      </c>
      <c r="M44" s="25">
        <f>IFERROR(VLOOKUP($B44,'Ontario Singles'!A:B,2,FALSE),"")</f>
        <v>40</v>
      </c>
      <c r="N44" s="30"/>
      <c r="O44" s="19">
        <f>IFERROR(LARGE(D44:M44,1),0)+IFERROR(LARGE(D44:M44,2),0)+IFERROR(LARGE(D44:M44,3),0)+IFERROR(LARGE(D44:M44,4),0)</f>
        <v>79</v>
      </c>
      <c r="P44" s="20">
        <f>SUM(D44:M44)/C44</f>
        <v>39.5</v>
      </c>
      <c r="Q44" s="21"/>
      <c r="T44" s="10"/>
      <c r="U44" s="28"/>
      <c r="V44" s="29"/>
      <c r="W44" s="10"/>
    </row>
    <row r="45" spans="1:28" s="8" customFormat="1" ht="18.75" customHeight="1" thickBot="1">
      <c r="A45" s="15">
        <f>RANK(O45,O$5:O$197)</f>
        <v>41</v>
      </c>
      <c r="B45" s="23" t="s">
        <v>43</v>
      </c>
      <c r="C45" s="17">
        <f>COUNT(D45:M45)</f>
        <v>3</v>
      </c>
      <c r="D45" s="116">
        <f>IFERROR(VLOOKUP($B45,'NCA Players Doubles'!$Z:$AB,3,FALSE),IFERROR(VLOOKUP($B45,'NCA Players Doubles'!$AA:$AB,2,FALSE),""))</f>
        <v>34</v>
      </c>
      <c r="E45" s="4" t="str">
        <f>IFERROR(VLOOKUP($B45,'NCA Players Singles'!$V:$W,2,FALSE),"")</f>
        <v/>
      </c>
      <c r="F45" s="26" t="str">
        <f>IFERROR(VLOOKUP($B45,Belleville!$U:$V,2,FALSE),"")</f>
        <v/>
      </c>
      <c r="G45" s="187" t="str">
        <f>IFERROR(VLOOKUP($B45,'Owen Sound'!$Z:$AA,2,FALSE),"")</f>
        <v/>
      </c>
      <c r="H45" s="187" t="str">
        <f>IFERROR(VLOOKUP($B45,ODCC!O:P,2,FALSE),"")</f>
        <v/>
      </c>
      <c r="I45" s="187">
        <f>IFERROR(VLOOKUP($B45,Elmira!S:T,2,FALSE),"")</f>
        <v>20</v>
      </c>
      <c r="J45" s="187" t="str">
        <f>IFERROR(VLOOKUP($B45,Chatham!K:L,2,FALSE),"")</f>
        <v/>
      </c>
      <c r="K45" s="187" t="str">
        <f>IFERROR(VLOOKUP($B45,London!AM:AN,2,FALSE),"")</f>
        <v/>
      </c>
      <c r="L45" s="187" t="str">
        <f>IFERROR(VLOOKUP($B45,'US Open'!A:B,2,FALSE),"")</f>
        <v/>
      </c>
      <c r="M45" s="25">
        <f>IFERROR(VLOOKUP($B45,'Ontario Singles'!A:B,2,FALSE),"")</f>
        <v>23</v>
      </c>
      <c r="N45" s="30"/>
      <c r="O45" s="19">
        <f>IFERROR(LARGE(D45:M45,1),0)+IFERROR(LARGE(D45:M45,2),0)+IFERROR(LARGE(D45:M45,3),0)+IFERROR(LARGE(D45:M45,4),0)</f>
        <v>77</v>
      </c>
      <c r="P45" s="20">
        <f>SUM(D45:M45)/C45</f>
        <v>25.666666666666668</v>
      </c>
      <c r="Q45" s="21"/>
      <c r="T45" s="36"/>
      <c r="U45" s="28"/>
      <c r="V45" s="36"/>
      <c r="W45" s="10"/>
    </row>
    <row r="46" spans="1:28" s="8" customFormat="1" ht="18.75" customHeight="1" thickBot="1">
      <c r="A46" s="15">
        <f>RANK(O46,O$5:O$197)</f>
        <v>42</v>
      </c>
      <c r="B46" s="23" t="s">
        <v>44</v>
      </c>
      <c r="C46" s="17">
        <f>COUNT(D46:M46)</f>
        <v>3</v>
      </c>
      <c r="D46" s="116">
        <f>IFERROR(VLOOKUP($B46,'NCA Players Doubles'!$Z:$AB,3,FALSE),IFERROR(VLOOKUP($B46,'NCA Players Doubles'!$AA:$AB,2,FALSE),""))</f>
        <v>35</v>
      </c>
      <c r="E46" s="4">
        <f>IFERROR(VLOOKUP($B46,'NCA Players Singles'!$V:$W,2,FALSE),"")</f>
        <v>20</v>
      </c>
      <c r="F46" s="33">
        <f>IFERROR(VLOOKUP($B46,Belleville!$U:$V,2,FALSE),"")</f>
        <v>20</v>
      </c>
      <c r="G46" s="187" t="str">
        <f>IFERROR(VLOOKUP($B46,'Owen Sound'!$Z:$AA,2,FALSE),"")</f>
        <v/>
      </c>
      <c r="H46" s="187" t="str">
        <f>IFERROR(VLOOKUP($B46,ODCC!O:P,2,FALSE),"")</f>
        <v/>
      </c>
      <c r="I46" s="187" t="str">
        <f>IFERROR(VLOOKUP($B46,Elmira!S:T,2,FALSE),"")</f>
        <v/>
      </c>
      <c r="J46" s="187" t="str">
        <f>IFERROR(VLOOKUP($B46,Chatham!K:L,2,FALSE),"")</f>
        <v/>
      </c>
      <c r="K46" s="187" t="str">
        <f>IFERROR(VLOOKUP($B46,London!AM:AN,2,FALSE),"")</f>
        <v/>
      </c>
      <c r="L46" s="187" t="str">
        <f>IFERROR(VLOOKUP($B46,'US Open'!A:B,2,FALSE),"")</f>
        <v/>
      </c>
      <c r="M46" s="25" t="str">
        <f>IFERROR(VLOOKUP($B46,'Ontario Singles'!A:B,2,FALSE),"")</f>
        <v/>
      </c>
      <c r="N46" s="30"/>
      <c r="O46" s="19">
        <f>IFERROR(LARGE(D46:M46,1),0)+IFERROR(LARGE(D46:M46,2),0)+IFERROR(LARGE(D46:M46,3),0)+IFERROR(LARGE(D46:M46,4),0)</f>
        <v>75</v>
      </c>
      <c r="P46" s="20">
        <f>SUM(D46:M46)/C46</f>
        <v>25</v>
      </c>
      <c r="Q46" s="21"/>
      <c r="R46" s="2"/>
      <c r="S46" s="2"/>
      <c r="T46" s="22"/>
      <c r="U46" s="34"/>
      <c r="V46" s="22"/>
      <c r="W46" s="10"/>
    </row>
    <row r="47" spans="1:28" s="8" customFormat="1" ht="18.75" customHeight="1" thickBot="1">
      <c r="A47" s="15">
        <f>RANK(O47,O$5:O$197)</f>
        <v>43</v>
      </c>
      <c r="B47" s="23" t="s">
        <v>281</v>
      </c>
      <c r="C47" s="17">
        <f>COUNT(D47:M47)</f>
        <v>2</v>
      </c>
      <c r="D47" s="116" t="str">
        <f>IFERROR(VLOOKUP($B47,'NCA Players Doubles'!$Z:$AB,3,FALSE),IFERROR(VLOOKUP($B47,'NCA Players Doubles'!$AA:$AB,2,FALSE),""))</f>
        <v/>
      </c>
      <c r="E47" s="4" t="str">
        <f>IFERROR(VLOOKUP($B47,'NCA Players Singles'!$V:$W,2,FALSE),"")</f>
        <v/>
      </c>
      <c r="F47" s="31" t="str">
        <f>IFERROR(VLOOKUP($B47,Belleville!$U:$V,2,FALSE),"")</f>
        <v/>
      </c>
      <c r="G47" s="187" t="str">
        <f>IFERROR(VLOOKUP($B47,'Owen Sound'!$Z:$AA,2,FALSE),"")</f>
        <v/>
      </c>
      <c r="H47" s="187">
        <f>IFERROR(VLOOKUP($B47,ODCC!O:P,2,FALSE),"")</f>
        <v>36</v>
      </c>
      <c r="I47" s="187" t="str">
        <f>IFERROR(VLOOKUP($B47,Elmira!S:T,2,FALSE),"")</f>
        <v/>
      </c>
      <c r="J47" s="187">
        <f>IFERROR(VLOOKUP($B47,Chatham!K:L,2,FALSE),"")</f>
        <v>35</v>
      </c>
      <c r="K47" s="187" t="str">
        <f>IFERROR(VLOOKUP($B47,London!AM:AN,2,FALSE),"")</f>
        <v/>
      </c>
      <c r="L47" s="187" t="str">
        <f>IFERROR(VLOOKUP($B47,'US Open'!A:B,2,FALSE),"")</f>
        <v/>
      </c>
      <c r="M47" s="25" t="str">
        <f>IFERROR(VLOOKUP($B47,'Ontario Singles'!A:B,2,FALSE),"")</f>
        <v/>
      </c>
      <c r="N47" s="30"/>
      <c r="O47" s="19">
        <f>IFERROR(LARGE(D47:M47,1),0)+IFERROR(LARGE(D47:M47,2),0)+IFERROR(LARGE(D47:M47,3),0)+IFERROR(LARGE(D47:M47,4),0)</f>
        <v>71</v>
      </c>
      <c r="P47" s="20">
        <f>SUM(D47:M47)/C47</f>
        <v>35.5</v>
      </c>
      <c r="S47" s="2"/>
      <c r="T47" s="36"/>
      <c r="U47" s="5"/>
    </row>
    <row r="48" spans="1:28" s="8" customFormat="1" ht="18.75" customHeight="1" thickBot="1">
      <c r="A48" s="15">
        <f>RANK(O48,O$5:O$197)</f>
        <v>44</v>
      </c>
      <c r="B48" s="23" t="s">
        <v>233</v>
      </c>
      <c r="C48" s="17">
        <f>COUNT(D48:M48)</f>
        <v>2</v>
      </c>
      <c r="D48" s="116" t="str">
        <f>IFERROR(VLOOKUP($B48,'NCA Players Doubles'!$Z:$AB,3,FALSE),IFERROR(VLOOKUP($B48,'NCA Players Doubles'!$AA:$AB,2,FALSE),""))</f>
        <v/>
      </c>
      <c r="E48" s="4" t="str">
        <f>IFERROR(VLOOKUP($B48,'NCA Players Singles'!$V:$W,2,FALSE),"")</f>
        <v/>
      </c>
      <c r="F48" s="33" t="str">
        <f>IFERROR(VLOOKUP($B48,Belleville!$U:$V,2,FALSE),"")</f>
        <v/>
      </c>
      <c r="G48" s="187">
        <f>IFERROR(VLOOKUP($B48,'Owen Sound'!$Z:$AA,2,FALSE),"")</f>
        <v>37</v>
      </c>
      <c r="H48" s="187">
        <f>IFERROR(VLOOKUP($B48,ODCC!O:P,2,FALSE),"")</f>
        <v>33</v>
      </c>
      <c r="I48" s="187" t="str">
        <f>IFERROR(VLOOKUP($B48,Elmira!S:T,2,FALSE),"")</f>
        <v/>
      </c>
      <c r="J48" s="187" t="str">
        <f>IFERROR(VLOOKUP($B48,Chatham!K:L,2,FALSE),"")</f>
        <v/>
      </c>
      <c r="K48" s="187" t="str">
        <f>IFERROR(VLOOKUP($B48,London!AM:AN,2,FALSE),"")</f>
        <v/>
      </c>
      <c r="L48" s="187" t="str">
        <f>IFERROR(VLOOKUP($B48,'US Open'!A:B,2,FALSE),"")</f>
        <v/>
      </c>
      <c r="M48" s="25" t="str">
        <f>IFERROR(VLOOKUP($B48,'Ontario Singles'!A:B,2,FALSE),"")</f>
        <v/>
      </c>
      <c r="N48" s="10"/>
      <c r="O48" s="19">
        <f>IFERROR(LARGE(D48:M48,1),0)+IFERROR(LARGE(D48:M48,2),0)+IFERROR(LARGE(D48:M48,3),0)+IFERROR(LARGE(D48:M48,4),0)</f>
        <v>70</v>
      </c>
      <c r="P48" s="20">
        <f>SUM(D48:M48)/C48</f>
        <v>35</v>
      </c>
      <c r="R48" s="2"/>
      <c r="S48" s="2"/>
      <c r="T48" s="36"/>
      <c r="U48" s="5"/>
    </row>
    <row r="49" spans="1:26" s="8" customFormat="1" ht="18.75" customHeight="1" thickBot="1">
      <c r="A49" s="15">
        <f>RANK(O49,O$5:O$197)</f>
        <v>45</v>
      </c>
      <c r="B49" s="23" t="s">
        <v>47</v>
      </c>
      <c r="C49" s="17">
        <f>COUNT(D49:M49)</f>
        <v>3</v>
      </c>
      <c r="D49" s="116" t="str">
        <f>IFERROR(VLOOKUP($B49,'NCA Players Doubles'!$Z:$AB,3,FALSE),IFERROR(VLOOKUP($B49,'NCA Players Doubles'!$AA:$AB,2,FALSE),""))</f>
        <v/>
      </c>
      <c r="E49" s="4">
        <f>IFERROR(VLOOKUP($B49,'NCA Players Singles'!$V:$W,2,FALSE),"")</f>
        <v>20</v>
      </c>
      <c r="F49" s="33" t="str">
        <f>IFERROR(VLOOKUP($B49,Belleville!$U:$V,2,FALSE),"")</f>
        <v/>
      </c>
      <c r="G49" s="187" t="str">
        <f>IFERROR(VLOOKUP($B49,'Owen Sound'!$Z:$AA,2,FALSE),"")</f>
        <v/>
      </c>
      <c r="H49" s="187" t="str">
        <f>IFERROR(VLOOKUP($B49,ODCC!O:P,2,FALSE),"")</f>
        <v/>
      </c>
      <c r="I49" s="187">
        <f>IFERROR(VLOOKUP($B49,Elmira!S:T,2,FALSE),"")</f>
        <v>24</v>
      </c>
      <c r="J49" s="187" t="str">
        <f>IFERROR(VLOOKUP($B49,Chatham!K:L,2,FALSE),"")</f>
        <v/>
      </c>
      <c r="K49" s="187" t="str">
        <f>IFERROR(VLOOKUP($B49,London!AM:AN,2,FALSE),"")</f>
        <v/>
      </c>
      <c r="L49" s="187" t="str">
        <f>IFERROR(VLOOKUP($B49,'US Open'!A:B,2,FALSE),"")</f>
        <v/>
      </c>
      <c r="M49" s="25">
        <f>IFERROR(VLOOKUP($B49,'Ontario Singles'!A:B,2,FALSE),"")</f>
        <v>24</v>
      </c>
      <c r="N49" s="10"/>
      <c r="O49" s="19">
        <f>IFERROR(LARGE(D49:M49,1),0)+IFERROR(LARGE(D49:M49,2),0)+IFERROR(LARGE(D49:M49,3),0)+IFERROR(LARGE(D49:M49,4),0)</f>
        <v>68</v>
      </c>
      <c r="P49" s="20">
        <f>SUM(D49:M49)/C49</f>
        <v>22.666666666666668</v>
      </c>
      <c r="Q49" s="21"/>
      <c r="R49" s="2"/>
      <c r="S49" s="2"/>
      <c r="T49" s="22"/>
      <c r="U49" s="34"/>
      <c r="V49" s="22"/>
      <c r="W49" s="10"/>
    </row>
    <row r="50" spans="1:26" s="8" customFormat="1" ht="18.75" customHeight="1" thickBot="1">
      <c r="A50" s="15">
        <f>RANK(O50,O$5:O$197)</f>
        <v>46</v>
      </c>
      <c r="B50" s="23" t="s">
        <v>221</v>
      </c>
      <c r="C50" s="17">
        <f>COUNT(D50:M50)</f>
        <v>3</v>
      </c>
      <c r="D50" s="116" t="str">
        <f>IFERROR(VLOOKUP($B50,'NCA Players Doubles'!$Z:$AB,3,FALSE),IFERROR(VLOOKUP($B50,'NCA Players Doubles'!$AA:$AB,2,FALSE),""))</f>
        <v/>
      </c>
      <c r="E50" s="4" t="str">
        <f>IFERROR(VLOOKUP($B50,'NCA Players Singles'!$V:$W,2,FALSE),"")</f>
        <v/>
      </c>
      <c r="F50" s="33">
        <f>IFERROR(VLOOKUP($B50,Belleville!$U:$V,2,FALSE),"")</f>
        <v>20</v>
      </c>
      <c r="G50" s="187">
        <f>IFERROR(VLOOKUP($B50,'Owen Sound'!$Z:$AA,2,FALSE),"")</f>
        <v>22</v>
      </c>
      <c r="H50" s="187" t="str">
        <f>IFERROR(VLOOKUP($B50,ODCC!O:P,2,FALSE),"")</f>
        <v/>
      </c>
      <c r="I50" s="187">
        <f>IFERROR(VLOOKUP($B50,Elmira!S:T,2,FALSE),"")</f>
        <v>22</v>
      </c>
      <c r="J50" s="187" t="str">
        <f>IFERROR(VLOOKUP($B50,Chatham!K:L,2,FALSE),"")</f>
        <v/>
      </c>
      <c r="K50" s="187" t="str">
        <f>IFERROR(VLOOKUP($B50,London!AM:AN,2,FALSE),"")</f>
        <v/>
      </c>
      <c r="L50" s="187" t="str">
        <f>IFERROR(VLOOKUP($B50,'US Open'!A:B,2,FALSE),"")</f>
        <v/>
      </c>
      <c r="M50" s="25" t="str">
        <f>IFERROR(VLOOKUP($B50,'Ontario Singles'!A:B,2,FALSE),"")</f>
        <v/>
      </c>
      <c r="N50" s="10"/>
      <c r="O50" s="19">
        <f>IFERROR(LARGE(D50:M50,1),0)+IFERROR(LARGE(D50:M50,2),0)+IFERROR(LARGE(D50:M50,3),0)+IFERROR(LARGE(D50:M50,4),0)</f>
        <v>64</v>
      </c>
      <c r="P50" s="20">
        <f>SUM(D50:M50)/C50</f>
        <v>21.333333333333332</v>
      </c>
      <c r="R50" s="2"/>
      <c r="S50" s="2"/>
      <c r="T50" s="36"/>
      <c r="U50" s="5"/>
    </row>
    <row r="51" spans="1:26" s="8" customFormat="1" ht="18.75" customHeight="1" thickBot="1">
      <c r="A51" s="15">
        <f>RANK(O51,O$5:O$197)</f>
        <v>47</v>
      </c>
      <c r="B51" s="23" t="s">
        <v>231</v>
      </c>
      <c r="C51" s="17">
        <f>COUNT(D51:M51)</f>
        <v>2</v>
      </c>
      <c r="D51" s="116" t="str">
        <f>IFERROR(VLOOKUP($B51,'NCA Players Doubles'!$Z:$AB,3,FALSE),IFERROR(VLOOKUP($B51,'NCA Players Doubles'!$AA:$AB,2,FALSE),""))</f>
        <v/>
      </c>
      <c r="E51" s="4" t="str">
        <f>IFERROR(VLOOKUP($B51,'NCA Players Singles'!$V:$W,2,FALSE),"")</f>
        <v/>
      </c>
      <c r="F51" s="33" t="str">
        <f>IFERROR(VLOOKUP($B51,Belleville!$U:$V,2,FALSE),"")</f>
        <v/>
      </c>
      <c r="G51" s="187">
        <f>IFERROR(VLOOKUP($B51,'Owen Sound'!$Z:$AA,2,FALSE),"")</f>
        <v>34</v>
      </c>
      <c r="H51" s="187">
        <f>IFERROR(VLOOKUP($B51,ODCC!O:P,2,FALSE),"")</f>
        <v>29</v>
      </c>
      <c r="I51" s="187" t="str">
        <f>IFERROR(VLOOKUP($B51,Elmira!S:T,2,FALSE),"")</f>
        <v/>
      </c>
      <c r="J51" s="187" t="str">
        <f>IFERROR(VLOOKUP($B51,Chatham!K:L,2,FALSE),"")</f>
        <v/>
      </c>
      <c r="K51" s="187" t="str">
        <f>IFERROR(VLOOKUP($B51,London!AM:AN,2,FALSE),"")</f>
        <v/>
      </c>
      <c r="L51" s="187" t="str">
        <f>IFERROR(VLOOKUP($B51,'US Open'!A:B,2,FALSE),"")</f>
        <v/>
      </c>
      <c r="M51" s="25" t="str">
        <f>IFERROR(VLOOKUP($B51,'Ontario Singles'!A:B,2,FALSE),"")</f>
        <v/>
      </c>
      <c r="N51" s="10"/>
      <c r="O51" s="19">
        <f>IFERROR(LARGE(D51:M51,1),0)+IFERROR(LARGE(D51:M51,2),0)+IFERROR(LARGE(D51:M51,3),0)+IFERROR(LARGE(D51:M51,4),0)</f>
        <v>63</v>
      </c>
      <c r="P51" s="20">
        <f>SUM(D51:M51)/C51</f>
        <v>31.5</v>
      </c>
      <c r="R51" s="2"/>
      <c r="S51" s="2"/>
      <c r="T51" s="36"/>
      <c r="U51" s="5"/>
    </row>
    <row r="52" spans="1:26" s="8" customFormat="1" ht="18.75" customHeight="1" thickBot="1">
      <c r="A52" s="15">
        <f>RANK(O52,O$5:O$197)</f>
        <v>47</v>
      </c>
      <c r="B52" s="23" t="s">
        <v>320</v>
      </c>
      <c r="C52" s="17">
        <f>COUNT(D52:M52)</f>
        <v>2</v>
      </c>
      <c r="D52" s="116" t="str">
        <f>IFERROR(VLOOKUP($B52,'NCA Players Doubles'!$Z:$AB,3,FALSE),IFERROR(VLOOKUP($B52,'NCA Players Doubles'!$AA:$AB,2,FALSE),""))</f>
        <v/>
      </c>
      <c r="E52" s="4" t="str">
        <f>IFERROR(VLOOKUP($B52,'NCA Players Singles'!$V:$W,2,FALSE),"")</f>
        <v/>
      </c>
      <c r="F52" s="26" t="str">
        <f>IFERROR(VLOOKUP($B52,Belleville!$U:$V,2,FALSE),"")</f>
        <v/>
      </c>
      <c r="G52" s="187" t="str">
        <f>IFERROR(VLOOKUP($B52,'Owen Sound'!$Z:$AA,2,FALSE),"")</f>
        <v/>
      </c>
      <c r="H52" s="187" t="str">
        <f>IFERROR(VLOOKUP($B52,ODCC!O:P,2,FALSE),"")</f>
        <v/>
      </c>
      <c r="I52" s="187">
        <f>IFERROR(VLOOKUP($B52,Elmira!S:T,2,FALSE),"")</f>
        <v>34</v>
      </c>
      <c r="J52" s="187" t="str">
        <f>IFERROR(VLOOKUP($B52,Chatham!K:L,2,FALSE),"")</f>
        <v/>
      </c>
      <c r="K52" s="187">
        <f>IFERROR(VLOOKUP($B52,London!AM:AN,2,FALSE),"")</f>
        <v>29</v>
      </c>
      <c r="L52" s="187" t="str">
        <f>IFERROR(VLOOKUP($B52,'US Open'!A:B,2,FALSE),"")</f>
        <v/>
      </c>
      <c r="M52" s="25" t="str">
        <f>IFERROR(VLOOKUP($B52,'Ontario Singles'!A:B,2,FALSE),"")</f>
        <v/>
      </c>
      <c r="N52" s="10"/>
      <c r="O52" s="19">
        <f>IFERROR(LARGE(D52:M52,1),0)+IFERROR(LARGE(D52:M52,2),0)+IFERROR(LARGE(D52:M52,3),0)+IFERROR(LARGE(D52:M52,4),0)</f>
        <v>63</v>
      </c>
      <c r="P52" s="20">
        <f>SUM(D52:M52)/C52</f>
        <v>31.5</v>
      </c>
      <c r="S52" s="2"/>
      <c r="T52" s="36"/>
      <c r="U52" s="5"/>
    </row>
    <row r="53" spans="1:26" s="8" customFormat="1" ht="18.75" customHeight="1" thickBot="1">
      <c r="A53" s="15">
        <f>RANK(O53,O$5:O$197)</f>
        <v>49</v>
      </c>
      <c r="B53" s="23" t="s">
        <v>48</v>
      </c>
      <c r="C53" s="17">
        <f>COUNT(D53:M53)</f>
        <v>3</v>
      </c>
      <c r="D53" s="116">
        <f>IFERROR(VLOOKUP($B53,'NCA Players Doubles'!$Z:$AB,3,FALSE),IFERROR(VLOOKUP($B53,'NCA Players Doubles'!$AA:$AB,2,FALSE),""))</f>
        <v>22</v>
      </c>
      <c r="E53" s="4">
        <f>IFERROR(VLOOKUP($B53,'NCA Players Singles'!$V:$W,2,FALSE),"")</f>
        <v>20</v>
      </c>
      <c r="F53" s="33" t="str">
        <f>IFERROR(VLOOKUP($B53,Belleville!$U:$V,2,FALSE),"")</f>
        <v/>
      </c>
      <c r="G53" s="187">
        <f>IFERROR(VLOOKUP($B53,'Owen Sound'!$Z:$AA,2,FALSE),"")</f>
        <v>20</v>
      </c>
      <c r="H53" s="187" t="str">
        <f>IFERROR(VLOOKUP($B53,ODCC!O:P,2,FALSE),"")</f>
        <v/>
      </c>
      <c r="I53" s="187" t="str">
        <f>IFERROR(VLOOKUP($B53,Elmira!S:T,2,FALSE),"")</f>
        <v/>
      </c>
      <c r="J53" s="187" t="str">
        <f>IFERROR(VLOOKUP($B53,Chatham!K:L,2,FALSE),"")</f>
        <v/>
      </c>
      <c r="K53" s="187" t="str">
        <f>IFERROR(VLOOKUP($B53,London!AM:AN,2,FALSE),"")</f>
        <v/>
      </c>
      <c r="L53" s="187" t="str">
        <f>IFERROR(VLOOKUP($B53,'US Open'!A:B,2,FALSE),"")</f>
        <v/>
      </c>
      <c r="M53" s="25" t="str">
        <f>IFERROR(VLOOKUP($B53,'Ontario Singles'!A:B,2,FALSE),"")</f>
        <v/>
      </c>
      <c r="N53" s="10"/>
      <c r="O53" s="19">
        <f>IFERROR(LARGE(D53:M53,1),0)+IFERROR(LARGE(D53:M53,2),0)+IFERROR(LARGE(D53:M53,3),0)+IFERROR(LARGE(D53:M53,4),0)</f>
        <v>62</v>
      </c>
      <c r="P53" s="20">
        <f>SUM(D53:M53)/C53</f>
        <v>20.666666666666668</v>
      </c>
      <c r="Q53" s="21"/>
      <c r="R53" s="2"/>
      <c r="S53" s="2"/>
      <c r="T53" s="22"/>
      <c r="U53" s="34"/>
      <c r="V53" s="22"/>
      <c r="W53" s="10"/>
    </row>
    <row r="54" spans="1:26" s="8" customFormat="1" ht="18.75" customHeight="1" thickBot="1">
      <c r="A54" s="15">
        <f>RANK(O54,O$5:O$197)</f>
        <v>50</v>
      </c>
      <c r="B54" s="23" t="s">
        <v>102</v>
      </c>
      <c r="C54" s="17">
        <f>COUNT(D54:M54)</f>
        <v>2</v>
      </c>
      <c r="D54" s="116">
        <f>IFERROR(VLOOKUP($B54,'NCA Players Doubles'!$Z:$AB,3,FALSE),IFERROR(VLOOKUP($B54,'NCA Players Doubles'!$AA:$AB,2,FALSE),""))</f>
        <v>40</v>
      </c>
      <c r="E54" s="4">
        <f>IFERROR(VLOOKUP($B54,'NCA Players Singles'!$V:$W,2,FALSE),"")</f>
        <v>20</v>
      </c>
      <c r="F54" s="26" t="str">
        <f>IFERROR(VLOOKUP($B54,Belleville!$U:$V,2,FALSE),"")</f>
        <v/>
      </c>
      <c r="G54" s="187" t="str">
        <f>IFERROR(VLOOKUP($B54,'Owen Sound'!$Z:$AA,2,FALSE),"")</f>
        <v/>
      </c>
      <c r="H54" s="187" t="str">
        <f>IFERROR(VLOOKUP($B54,ODCC!O:P,2,FALSE),"")</f>
        <v/>
      </c>
      <c r="I54" s="187" t="str">
        <f>IFERROR(VLOOKUP($B54,Elmira!S:T,2,FALSE),"")</f>
        <v/>
      </c>
      <c r="J54" s="187" t="str">
        <f>IFERROR(VLOOKUP($B54,Chatham!K:L,2,FALSE),"")</f>
        <v/>
      </c>
      <c r="K54" s="187" t="str">
        <f>IFERROR(VLOOKUP($B54,London!AM:AN,2,FALSE),"")</f>
        <v/>
      </c>
      <c r="L54" s="187" t="str">
        <f>IFERROR(VLOOKUP($B54,'US Open'!A:B,2,FALSE),"")</f>
        <v/>
      </c>
      <c r="M54" s="25" t="str">
        <f>IFERROR(VLOOKUP($B54,'Ontario Singles'!A:B,2,FALSE),"")</f>
        <v/>
      </c>
      <c r="N54" s="10"/>
      <c r="O54" s="19">
        <f>IFERROR(LARGE(D54:M54,1),0)+IFERROR(LARGE(D54:M54,2),0)+IFERROR(LARGE(D54:M54,3),0)+IFERROR(LARGE(D54:M54,4),0)</f>
        <v>60</v>
      </c>
      <c r="P54" s="20">
        <f>SUM(D54:M54)/C54</f>
        <v>30</v>
      </c>
      <c r="Q54" s="21"/>
      <c r="R54" s="2"/>
      <c r="S54" s="2"/>
      <c r="T54" s="22"/>
      <c r="U54" s="34"/>
      <c r="V54" s="22"/>
      <c r="W54" s="10"/>
    </row>
    <row r="55" spans="1:26" s="8" customFormat="1" ht="18.75" customHeight="1" thickBot="1">
      <c r="A55" s="15">
        <f>RANK(O55,O$5:O$197)</f>
        <v>51</v>
      </c>
      <c r="B55" s="23" t="s">
        <v>122</v>
      </c>
      <c r="C55" s="17">
        <f>COUNT(D55:M55)</f>
        <v>2</v>
      </c>
      <c r="D55" s="116">
        <f>IFERROR(VLOOKUP($B55,'NCA Players Doubles'!$Z:$AB,3,FALSE),IFERROR(VLOOKUP($B55,'NCA Players Doubles'!$AA:$AB,2,FALSE),""))</f>
        <v>27</v>
      </c>
      <c r="E55" s="4" t="str">
        <f>IFERROR(VLOOKUP($B55,'NCA Players Singles'!$V:$W,2,FALSE),"")</f>
        <v/>
      </c>
      <c r="F55" s="26" t="str">
        <f>IFERROR(VLOOKUP($B55,Belleville!$U:$V,2,FALSE),"")</f>
        <v/>
      </c>
      <c r="G55" s="187" t="str">
        <f>IFERROR(VLOOKUP($B55,'Owen Sound'!$Z:$AA,2,FALSE),"")</f>
        <v/>
      </c>
      <c r="H55" s="187">
        <f>IFERROR(VLOOKUP($B55,ODCC!O:P,2,FALSE),"")</f>
        <v>30</v>
      </c>
      <c r="I55" s="187" t="str">
        <f>IFERROR(VLOOKUP($B55,Elmira!S:T,2,FALSE),"")</f>
        <v/>
      </c>
      <c r="J55" s="187" t="str">
        <f>IFERROR(VLOOKUP($B55,Chatham!K:L,2,FALSE),"")</f>
        <v/>
      </c>
      <c r="K55" s="187" t="str">
        <f>IFERROR(VLOOKUP($B55,London!AM:AN,2,FALSE),"")</f>
        <v/>
      </c>
      <c r="L55" s="187" t="str">
        <f>IFERROR(VLOOKUP($B55,'US Open'!A:B,2,FALSE),"")</f>
        <v/>
      </c>
      <c r="M55" s="25" t="str">
        <f>IFERROR(VLOOKUP($B55,'Ontario Singles'!A:B,2,FALSE),"")</f>
        <v/>
      </c>
      <c r="N55" s="10"/>
      <c r="O55" s="19">
        <f>IFERROR(LARGE(D55:M55,1),0)+IFERROR(LARGE(D55:M55,2),0)+IFERROR(LARGE(D55:M55,3),0)+IFERROR(LARGE(D55:M55,4),0)</f>
        <v>57</v>
      </c>
      <c r="P55" s="20">
        <f>SUM(D55:M55)/C55</f>
        <v>28.5</v>
      </c>
      <c r="Q55" s="21"/>
      <c r="T55" s="36"/>
      <c r="U55" s="10"/>
      <c r="V55" s="36"/>
      <c r="W55" s="10"/>
    </row>
    <row r="56" spans="1:26" s="8" customFormat="1" ht="18.75" customHeight="1" thickBot="1">
      <c r="A56" s="15">
        <f>RANK(O56,O$5:O$197)</f>
        <v>52</v>
      </c>
      <c r="B56" s="23" t="s">
        <v>49</v>
      </c>
      <c r="C56" s="17">
        <f>COUNT(D56:M56)</f>
        <v>2</v>
      </c>
      <c r="D56" s="116">
        <f>IFERROR(VLOOKUP($B56,'NCA Players Doubles'!$Z:$AB,3,FALSE),IFERROR(VLOOKUP($B56,'NCA Players Doubles'!$AA:$AB,2,FALSE),""))</f>
        <v>30</v>
      </c>
      <c r="E56" s="4">
        <f>IFERROR(VLOOKUP($B56,'NCA Players Singles'!$V:$W,2,FALSE),"")</f>
        <v>22</v>
      </c>
      <c r="F56" s="24" t="str">
        <f>IFERROR(VLOOKUP($B56,Belleville!$U:$V,2,FALSE),"")</f>
        <v/>
      </c>
      <c r="G56" s="187" t="str">
        <f>IFERROR(VLOOKUP($B56,'Owen Sound'!$Z:$AA,2,FALSE),"")</f>
        <v/>
      </c>
      <c r="H56" s="187" t="str">
        <f>IFERROR(VLOOKUP($B56,ODCC!O:P,2,FALSE),"")</f>
        <v/>
      </c>
      <c r="I56" s="187" t="str">
        <f>IFERROR(VLOOKUP($B56,Elmira!S:T,2,FALSE),"")</f>
        <v/>
      </c>
      <c r="J56" s="187" t="str">
        <f>IFERROR(VLOOKUP($B56,Chatham!K:L,2,FALSE),"")</f>
        <v/>
      </c>
      <c r="K56" s="187" t="str">
        <f>IFERROR(VLOOKUP($B56,London!AM:AN,2,FALSE),"")</f>
        <v/>
      </c>
      <c r="L56" s="187" t="str">
        <f>IFERROR(VLOOKUP($B56,'US Open'!A:B,2,FALSE),"")</f>
        <v/>
      </c>
      <c r="M56" s="25" t="str">
        <f>IFERROR(VLOOKUP($B56,'Ontario Singles'!A:B,2,FALSE),"")</f>
        <v/>
      </c>
      <c r="N56" s="30"/>
      <c r="O56" s="19">
        <f>IFERROR(LARGE(D56:M56,1),0)+IFERROR(LARGE(D56:M56,2),0)+IFERROR(LARGE(D56:M56,3),0)+IFERROR(LARGE(D56:M56,4),0)</f>
        <v>52</v>
      </c>
      <c r="P56" s="20">
        <f>SUM(D56:M56)/C56</f>
        <v>26</v>
      </c>
      <c r="Q56" s="21"/>
    </row>
    <row r="57" spans="1:26" s="8" customFormat="1" ht="18.75" customHeight="1" thickBot="1">
      <c r="A57" s="15">
        <f>RANK(O57,O$5:O$197)</f>
        <v>52</v>
      </c>
      <c r="B57" s="23" t="s">
        <v>21</v>
      </c>
      <c r="C57" s="17">
        <f>COUNT(D57:M57)</f>
        <v>2</v>
      </c>
      <c r="D57" s="116">
        <f>IFERROR(VLOOKUP($B57,'NCA Players Doubles'!$Z:$AB,3,FALSE),IFERROR(VLOOKUP($B57,'NCA Players Doubles'!$AA:$AB,2,FALSE),""))</f>
        <v>32</v>
      </c>
      <c r="E57" s="4">
        <f>IFERROR(VLOOKUP($B57,'NCA Players Singles'!$V:$W,2,FALSE),"")</f>
        <v>20</v>
      </c>
      <c r="F57" s="26" t="str">
        <f>IFERROR(VLOOKUP($B57,Belleville!$U:$V,2,FALSE),"")</f>
        <v/>
      </c>
      <c r="G57" s="187" t="str">
        <f>IFERROR(VLOOKUP($B57,'Owen Sound'!$Z:$AA,2,FALSE),"")</f>
        <v/>
      </c>
      <c r="H57" s="187" t="str">
        <f>IFERROR(VLOOKUP($B57,ODCC!O:P,2,FALSE),"")</f>
        <v/>
      </c>
      <c r="I57" s="187" t="str">
        <f>IFERROR(VLOOKUP($B57,Elmira!S:T,2,FALSE),"")</f>
        <v/>
      </c>
      <c r="J57" s="187" t="str">
        <f>IFERROR(VLOOKUP($B57,Chatham!K:L,2,FALSE),"")</f>
        <v/>
      </c>
      <c r="K57" s="187" t="str">
        <f>IFERROR(VLOOKUP($B57,London!AM:AN,2,FALSE),"")</f>
        <v/>
      </c>
      <c r="L57" s="187" t="str">
        <f>IFERROR(VLOOKUP($B57,'US Open'!A:B,2,FALSE),"")</f>
        <v/>
      </c>
      <c r="M57" s="25" t="str">
        <f>IFERROR(VLOOKUP($B57,'Ontario Singles'!A:B,2,FALSE),"")</f>
        <v/>
      </c>
      <c r="N57" s="30"/>
      <c r="O57" s="19">
        <f>IFERROR(LARGE(D57:M57,1),0)+IFERROR(LARGE(D57:M57,2),0)+IFERROR(LARGE(D57:M57,3),0)+IFERROR(LARGE(D57:M57,4),0)</f>
        <v>52</v>
      </c>
      <c r="P57" s="20">
        <f>SUM(D57:M57)/C57</f>
        <v>26</v>
      </c>
      <c r="Q57" s="21"/>
      <c r="R57" s="2"/>
      <c r="S57" s="2"/>
      <c r="T57" s="22"/>
      <c r="U57" s="34"/>
      <c r="V57" s="22"/>
      <c r="W57" s="10"/>
    </row>
    <row r="58" spans="1:26" s="8" customFormat="1" ht="18.75" customHeight="1" thickBot="1">
      <c r="A58" s="15">
        <f>RANK(O58,O$5:O$197)</f>
        <v>54</v>
      </c>
      <c r="B58" s="23" t="s">
        <v>41</v>
      </c>
      <c r="C58" s="17">
        <f>COUNT(D58:M58)</f>
        <v>2</v>
      </c>
      <c r="D58" s="116">
        <f>IFERROR(VLOOKUP($B58,'NCA Players Doubles'!$Z:$AB,3,FALSE),IFERROR(VLOOKUP($B58,'NCA Players Doubles'!$AA:$AB,2,FALSE),""))</f>
        <v>30</v>
      </c>
      <c r="E58" s="4">
        <f>IFERROR(VLOOKUP($B58,'NCA Players Singles'!$V:$W,2,FALSE),"")</f>
        <v>20</v>
      </c>
      <c r="F58" s="33" t="str">
        <f>IFERROR(VLOOKUP($B58,Belleville!$U:$V,2,FALSE),"")</f>
        <v/>
      </c>
      <c r="G58" s="187" t="str">
        <f>IFERROR(VLOOKUP($B58,'Owen Sound'!$Z:$AA,2,FALSE),"")</f>
        <v/>
      </c>
      <c r="H58" s="187" t="str">
        <f>IFERROR(VLOOKUP($B58,ODCC!O:P,2,FALSE),"")</f>
        <v/>
      </c>
      <c r="I58" s="187" t="str">
        <f>IFERROR(VLOOKUP($B58,Elmira!S:T,2,FALSE),"")</f>
        <v/>
      </c>
      <c r="J58" s="187" t="str">
        <f>IFERROR(VLOOKUP($B58,Chatham!K:L,2,FALSE),"")</f>
        <v/>
      </c>
      <c r="K58" s="187" t="str">
        <f>IFERROR(VLOOKUP($B58,London!AM:AN,2,FALSE),"")</f>
        <v/>
      </c>
      <c r="L58" s="187" t="str">
        <f>IFERROR(VLOOKUP($B58,'US Open'!A:B,2,FALSE),"")</f>
        <v/>
      </c>
      <c r="M58" s="25" t="str">
        <f>IFERROR(VLOOKUP($B58,'Ontario Singles'!A:B,2,FALSE),"")</f>
        <v/>
      </c>
      <c r="N58" s="10"/>
      <c r="O58" s="19">
        <f>IFERROR(LARGE(D58:M58,1),0)+IFERROR(LARGE(D58:M58,2),0)+IFERROR(LARGE(D58:M58,3),0)+IFERROR(LARGE(D58:M58,4),0)</f>
        <v>50</v>
      </c>
      <c r="P58" s="20">
        <f>SUM(D58:M58)/C58</f>
        <v>25</v>
      </c>
      <c r="R58" s="2"/>
      <c r="S58" s="2"/>
      <c r="T58" s="22"/>
      <c r="U58" s="28"/>
      <c r="V58" s="22"/>
      <c r="W58" s="10"/>
    </row>
    <row r="59" spans="1:26" s="8" customFormat="1" ht="18.75" customHeight="1" thickBot="1">
      <c r="A59" s="15">
        <f>RANK(O59,O$5:O$197)</f>
        <v>55</v>
      </c>
      <c r="B59" s="23" t="s">
        <v>124</v>
      </c>
      <c r="C59" s="17">
        <f>COUNT(D59:M59)</f>
        <v>2</v>
      </c>
      <c r="D59" s="116">
        <f>IFERROR(VLOOKUP($B59,'NCA Players Doubles'!$Z:$AB,3,FALSE),IFERROR(VLOOKUP($B59,'NCA Players Doubles'!$AA:$AB,2,FALSE),""))</f>
        <v>26</v>
      </c>
      <c r="E59" s="4">
        <f>IFERROR(VLOOKUP($B59,'NCA Players Singles'!$V:$W,2,FALSE),"")</f>
        <v>20</v>
      </c>
      <c r="F59" s="26" t="str">
        <f>IFERROR(VLOOKUP($B59,Belleville!$U:$V,2,FALSE),"")</f>
        <v/>
      </c>
      <c r="G59" s="187" t="str">
        <f>IFERROR(VLOOKUP($B59,'Owen Sound'!$Z:$AA,2,FALSE),"")</f>
        <v/>
      </c>
      <c r="H59" s="187" t="str">
        <f>IFERROR(VLOOKUP($B59,ODCC!O:P,2,FALSE),"")</f>
        <v/>
      </c>
      <c r="I59" s="187" t="str">
        <f>IFERROR(VLOOKUP($B59,Elmira!S:T,2,FALSE),"")</f>
        <v/>
      </c>
      <c r="J59" s="187" t="str">
        <f>IFERROR(VLOOKUP($B59,Chatham!K:L,2,FALSE),"")</f>
        <v/>
      </c>
      <c r="K59" s="187" t="str">
        <f>IFERROR(VLOOKUP($B59,London!AM:AN,2,FALSE),"")</f>
        <v/>
      </c>
      <c r="L59" s="187" t="str">
        <f>IFERROR(VLOOKUP($B59,'US Open'!A:B,2,FALSE),"")</f>
        <v/>
      </c>
      <c r="M59" s="25" t="str">
        <f>IFERROR(VLOOKUP($B59,'Ontario Singles'!A:B,2,FALSE),"")</f>
        <v/>
      </c>
      <c r="N59" s="30"/>
      <c r="O59" s="19">
        <f>IFERROR(LARGE(D59:M59,1),0)+IFERROR(LARGE(D59:M59,2),0)+IFERROR(LARGE(D59:M59,3),0)+IFERROR(LARGE(D59:M59,4),0)</f>
        <v>46</v>
      </c>
      <c r="P59" s="20">
        <f>SUM(D59:M59)/C59</f>
        <v>23</v>
      </c>
      <c r="Q59" s="21"/>
      <c r="R59" s="2"/>
      <c r="S59" s="2"/>
      <c r="T59" s="22"/>
      <c r="U59" s="34"/>
      <c r="V59" s="22"/>
      <c r="W59" s="10"/>
    </row>
    <row r="60" spans="1:26" s="8" customFormat="1" ht="18.75" customHeight="1" thickBot="1">
      <c r="A60" s="15">
        <f>RANK(O60,O$5:O$197)</f>
        <v>56</v>
      </c>
      <c r="B60" s="23" t="s">
        <v>126</v>
      </c>
      <c r="C60" s="17">
        <f>COUNT(D60:M60)</f>
        <v>2</v>
      </c>
      <c r="D60" s="116">
        <f>IFERROR(VLOOKUP($B60,'NCA Players Doubles'!$Z:$AB,3,FALSE),IFERROR(VLOOKUP($B60,'NCA Players Doubles'!$AA:$AB,2,FALSE),""))</f>
        <v>25</v>
      </c>
      <c r="E60" s="4">
        <f>IFERROR(VLOOKUP($B60,'NCA Players Singles'!$V:$W,2,FALSE),"")</f>
        <v>20</v>
      </c>
      <c r="F60" s="33" t="str">
        <f>IFERROR(VLOOKUP($B60,Belleville!$U:$V,2,FALSE),"")</f>
        <v/>
      </c>
      <c r="G60" s="187" t="str">
        <f>IFERROR(VLOOKUP($B60,'Owen Sound'!$Z:$AA,2,FALSE),"")</f>
        <v/>
      </c>
      <c r="H60" s="187" t="str">
        <f>IFERROR(VLOOKUP($B60,ODCC!O:P,2,FALSE),"")</f>
        <v/>
      </c>
      <c r="I60" s="187" t="str">
        <f>IFERROR(VLOOKUP($B60,Elmira!S:T,2,FALSE),"")</f>
        <v/>
      </c>
      <c r="J60" s="187" t="str">
        <f>IFERROR(VLOOKUP($B60,Chatham!K:L,2,FALSE),"")</f>
        <v/>
      </c>
      <c r="K60" s="187" t="str">
        <f>IFERROR(VLOOKUP($B60,London!AM:AN,2,FALSE),"")</f>
        <v/>
      </c>
      <c r="L60" s="187" t="str">
        <f>IFERROR(VLOOKUP($B60,'US Open'!A:B,2,FALSE),"")</f>
        <v/>
      </c>
      <c r="M60" s="25" t="str">
        <f>IFERROR(VLOOKUP($B60,'Ontario Singles'!A:B,2,FALSE),"")</f>
        <v/>
      </c>
      <c r="N60" s="30"/>
      <c r="O60" s="19">
        <f>IFERROR(LARGE(D60:M60,1),0)+IFERROR(LARGE(D60:M60,2),0)+IFERROR(LARGE(D60:M60,3),0)+IFERROR(LARGE(D60:M60,4),0)</f>
        <v>45</v>
      </c>
      <c r="P60" s="20">
        <f>SUM(D60:M60)/C60</f>
        <v>22.5</v>
      </c>
      <c r="Q60" s="21"/>
    </row>
    <row r="61" spans="1:26" s="8" customFormat="1" ht="18.75" customHeight="1" thickBot="1">
      <c r="A61" s="15">
        <f>RANK(O61,O$5:O$197)</f>
        <v>56</v>
      </c>
      <c r="B61" s="23" t="s">
        <v>503</v>
      </c>
      <c r="C61" s="17">
        <f>COUNT(D61:M61)</f>
        <v>1</v>
      </c>
      <c r="D61" s="116" t="str">
        <f>IFERROR(VLOOKUP($B61,'NCA Players Doubles'!$Z:$AB,3,FALSE),IFERROR(VLOOKUP($B61,'NCA Players Doubles'!$AA:$AB,2,FALSE),""))</f>
        <v/>
      </c>
      <c r="E61" s="4" t="str">
        <f>IFERROR(VLOOKUP($B61,'NCA Players Singles'!$V:$W,2,FALSE),"")</f>
        <v/>
      </c>
      <c r="F61" s="33" t="str">
        <f>IFERROR(VLOOKUP($B61,Belleville!$U:$V,2,FALSE),"")</f>
        <v/>
      </c>
      <c r="G61" s="187" t="str">
        <f>IFERROR(VLOOKUP($B61,'Owen Sound'!$Z:$AA,2,FALSE),"")</f>
        <v/>
      </c>
      <c r="H61" s="187" t="str">
        <f>IFERROR(VLOOKUP($B61,ODCC!O:P,2,FALSE),"")</f>
        <v/>
      </c>
      <c r="I61" s="187" t="str">
        <f>IFERROR(VLOOKUP($B61,Elmira!S:T,2,FALSE),"")</f>
        <v/>
      </c>
      <c r="J61" s="187" t="str">
        <f>IFERROR(VLOOKUP($B61,Chatham!K:L,2,FALSE),"")</f>
        <v/>
      </c>
      <c r="K61" s="187" t="str">
        <f>IFERROR(VLOOKUP($B61,London!AM:AN,2,FALSE),"")</f>
        <v/>
      </c>
      <c r="L61" s="187">
        <f>IFERROR(VLOOKUP($B61,'US Open'!A:B,2,FALSE),"")</f>
        <v>45</v>
      </c>
      <c r="M61" s="25" t="str">
        <f>IFERROR(VLOOKUP($B61,'Ontario Singles'!A:B,2,FALSE),"")</f>
        <v/>
      </c>
      <c r="N61" s="28"/>
      <c r="O61" s="19">
        <f>IFERROR(LARGE(D61:M61,1),0)+IFERROR(LARGE(D61:M61,2),0)+IFERROR(LARGE(D61:M61,3),0)+IFERROR(LARGE(D61:M61,4),0)</f>
        <v>45</v>
      </c>
      <c r="P61" s="20">
        <f>SUM(D61:M61)/C61</f>
        <v>45</v>
      </c>
      <c r="S61" s="2"/>
      <c r="T61" s="36"/>
      <c r="U61" s="5"/>
    </row>
    <row r="62" spans="1:26" s="8" customFormat="1" ht="18.75" customHeight="1" thickBot="1">
      <c r="A62" s="15">
        <f>RANK(O62,O$5:O$197)</f>
        <v>56</v>
      </c>
      <c r="B62" s="23" t="s">
        <v>477</v>
      </c>
      <c r="C62" s="17">
        <f>COUNT(D62:M62)</f>
        <v>1</v>
      </c>
      <c r="D62" s="116" t="str">
        <f>IFERROR(VLOOKUP($B62,'NCA Players Doubles'!$Z:$AB,3,FALSE),IFERROR(VLOOKUP($B62,'NCA Players Doubles'!$AA:$AB,2,FALSE),""))</f>
        <v/>
      </c>
      <c r="E62" s="4" t="str">
        <f>IFERROR(VLOOKUP($B62,'NCA Players Singles'!$V:$W,2,FALSE),"")</f>
        <v/>
      </c>
      <c r="F62" s="26" t="str">
        <f>IFERROR(VLOOKUP($B62,Belleville!$U:$V,2,FALSE),"")</f>
        <v/>
      </c>
      <c r="G62" s="187" t="str">
        <f>IFERROR(VLOOKUP($B62,'Owen Sound'!$Z:$AA,2,FALSE),"")</f>
        <v/>
      </c>
      <c r="H62" s="187" t="str">
        <f>IFERROR(VLOOKUP($B62,ODCC!O:P,2,FALSE),"")</f>
        <v/>
      </c>
      <c r="I62" s="187" t="str">
        <f>IFERROR(VLOOKUP($B62,Elmira!S:T,2,FALSE),"")</f>
        <v/>
      </c>
      <c r="J62" s="187" t="str">
        <f>IFERROR(VLOOKUP($B62,Chatham!K:L,2,FALSE),"")</f>
        <v/>
      </c>
      <c r="K62" s="187" t="str">
        <f>IFERROR(VLOOKUP($B62,London!AM:AN,2,FALSE),"")</f>
        <v/>
      </c>
      <c r="L62" s="187">
        <f>IFERROR(VLOOKUP($B62,'US Open'!A:B,2,FALSE),"")</f>
        <v>45</v>
      </c>
      <c r="M62" s="25" t="str">
        <f>IFERROR(VLOOKUP($B62,'Ontario Singles'!A:B,2,FALSE),"")</f>
        <v/>
      </c>
      <c r="N62" s="10"/>
      <c r="O62" s="19">
        <f>IFERROR(LARGE(D62:M62,1),0)+IFERROR(LARGE(D62:M62,2),0)+IFERROR(LARGE(D62:M62,3),0)+IFERROR(LARGE(D62:M62,4),0)</f>
        <v>45</v>
      </c>
      <c r="P62" s="20">
        <f>SUM(D62:M62)/C62</f>
        <v>45</v>
      </c>
      <c r="Q62" s="21"/>
    </row>
    <row r="63" spans="1:26" s="8" customFormat="1" ht="18.75" customHeight="1" thickBot="1">
      <c r="A63" s="15">
        <f>RANK(O63,O$5:O$197)</f>
        <v>59</v>
      </c>
      <c r="B63" s="23" t="s">
        <v>51</v>
      </c>
      <c r="C63" s="17">
        <f>COUNT(D63:M63)</f>
        <v>2</v>
      </c>
      <c r="D63" s="116">
        <f>IFERROR(VLOOKUP($B63,'NCA Players Doubles'!$Z:$AB,3,FALSE),IFERROR(VLOOKUP($B63,'NCA Players Doubles'!$AA:$AB,2,FALSE),""))</f>
        <v>24</v>
      </c>
      <c r="E63" s="4">
        <f>IFERROR(VLOOKUP($B63,'NCA Players Singles'!$V:$W,2,FALSE),"")</f>
        <v>20</v>
      </c>
      <c r="F63" s="18" t="str">
        <f>IFERROR(VLOOKUP($B63,Belleville!$U:$V,2,FALSE),"")</f>
        <v/>
      </c>
      <c r="G63" s="187" t="str">
        <f>IFERROR(VLOOKUP($B63,'Owen Sound'!$Z:$AA,2,FALSE),"")</f>
        <v/>
      </c>
      <c r="H63" s="187" t="str">
        <f>IFERROR(VLOOKUP($B63,ODCC!O:P,2,FALSE),"")</f>
        <v/>
      </c>
      <c r="I63" s="187" t="str">
        <f>IFERROR(VLOOKUP($B63,Elmira!S:T,2,FALSE),"")</f>
        <v/>
      </c>
      <c r="J63" s="187" t="str">
        <f>IFERROR(VLOOKUP($B63,Chatham!K:L,2,FALSE),"")</f>
        <v/>
      </c>
      <c r="K63" s="187" t="str">
        <f>IFERROR(VLOOKUP($B63,London!AM:AN,2,FALSE),"")</f>
        <v/>
      </c>
      <c r="L63" s="187" t="str">
        <f>IFERROR(VLOOKUP($B63,'US Open'!A:B,2,FALSE),"")</f>
        <v/>
      </c>
      <c r="M63" s="25" t="str">
        <f>IFERROR(VLOOKUP($B63,'Ontario Singles'!A:B,2,FALSE),"")</f>
        <v/>
      </c>
      <c r="N63" s="10"/>
      <c r="O63" s="19">
        <f>IFERROR(LARGE(D63:M63,1),0)+IFERROR(LARGE(D63:M63,2),0)+IFERROR(LARGE(D63:M63,3),0)+IFERROR(LARGE(D63:M63,4),0)</f>
        <v>44</v>
      </c>
      <c r="P63" s="20">
        <f>SUM(D63:M63)/C63</f>
        <v>22</v>
      </c>
      <c r="Q63" s="21"/>
    </row>
    <row r="64" spans="1:26" s="8" customFormat="1" ht="18.75" customHeight="1" thickBot="1">
      <c r="A64" s="15">
        <f>RANK(O64,O$5:O$197)</f>
        <v>59</v>
      </c>
      <c r="B64" s="23" t="s">
        <v>323</v>
      </c>
      <c r="C64" s="17">
        <f>COUNT(D64:M64)</f>
        <v>2</v>
      </c>
      <c r="D64" s="116" t="str">
        <f>IFERROR(VLOOKUP($B64,'NCA Players Doubles'!$Z:$AB,3,FALSE),IFERROR(VLOOKUP($B64,'NCA Players Doubles'!$AA:$AB,2,FALSE),""))</f>
        <v/>
      </c>
      <c r="E64" s="4" t="str">
        <f>IFERROR(VLOOKUP($B64,'NCA Players Singles'!$V:$W,2,FALSE),"")</f>
        <v/>
      </c>
      <c r="F64" s="33" t="str">
        <f>IFERROR(VLOOKUP($B64,Belleville!$U:$V,2,FALSE),"")</f>
        <v/>
      </c>
      <c r="G64" s="187" t="str">
        <f>IFERROR(VLOOKUP($B64,'Owen Sound'!$Z:$AA,2,FALSE),"")</f>
        <v/>
      </c>
      <c r="H64" s="187" t="str">
        <f>IFERROR(VLOOKUP($B64,ODCC!O:P,2,FALSE),"")</f>
        <v/>
      </c>
      <c r="I64" s="187">
        <f>IFERROR(VLOOKUP($B64,Elmira!S:T,2,FALSE),"")</f>
        <v>22</v>
      </c>
      <c r="J64" s="187" t="str">
        <f>IFERROR(VLOOKUP($B64,Chatham!K:L,2,FALSE),"")</f>
        <v/>
      </c>
      <c r="K64" s="187" t="str">
        <f>IFERROR(VLOOKUP($B64,London!AM:AN,2,FALSE),"")</f>
        <v/>
      </c>
      <c r="L64" s="187" t="str">
        <f>IFERROR(VLOOKUP($B64,'US Open'!A:B,2,FALSE),"")</f>
        <v/>
      </c>
      <c r="M64" s="25">
        <f>IFERROR(VLOOKUP($B64,'Ontario Singles'!A:B,2,FALSE),"")</f>
        <v>22</v>
      </c>
      <c r="N64" s="10"/>
      <c r="O64" s="19">
        <f>IFERROR(LARGE(D64:M64,1),0)+IFERROR(LARGE(D64:M64,2),0)+IFERROR(LARGE(D64:M64,3),0)+IFERROR(LARGE(D64:M64,4),0)</f>
        <v>44</v>
      </c>
      <c r="P64" s="20">
        <f>SUM(D64:M64)/C64</f>
        <v>22</v>
      </c>
      <c r="Q64" s="21"/>
      <c r="R64" s="2"/>
      <c r="S64" s="2"/>
      <c r="T64" s="22"/>
      <c r="U64" s="2"/>
      <c r="V64" s="10"/>
      <c r="W64" s="32"/>
      <c r="X64" s="32"/>
      <c r="Y64" s="32"/>
      <c r="Z64" s="22"/>
    </row>
    <row r="65" spans="1:26" s="8" customFormat="1" ht="18.75" customHeight="1" thickBot="1">
      <c r="A65" s="15">
        <f>RANK(O65,O$5:O$197)</f>
        <v>61</v>
      </c>
      <c r="B65" s="23" t="s">
        <v>129</v>
      </c>
      <c r="C65" s="17">
        <f>COUNT(D65:M65)</f>
        <v>2</v>
      </c>
      <c r="D65" s="116">
        <f>IFERROR(VLOOKUP($B65,'NCA Players Doubles'!$Z:$AB,3,FALSE),IFERROR(VLOOKUP($B65,'NCA Players Doubles'!$AA:$AB,2,FALSE),""))</f>
        <v>23</v>
      </c>
      <c r="E65" s="4">
        <f>IFERROR(VLOOKUP($B65,'NCA Players Singles'!$V:$W,2,FALSE),"")</f>
        <v>20</v>
      </c>
      <c r="F65" s="26" t="str">
        <f>IFERROR(VLOOKUP($B65,Belleville!$U:$V,2,FALSE),"")</f>
        <v/>
      </c>
      <c r="G65" s="187" t="str">
        <f>IFERROR(VLOOKUP($B65,'Owen Sound'!$Z:$AA,2,FALSE),"")</f>
        <v/>
      </c>
      <c r="H65" s="187" t="str">
        <f>IFERROR(VLOOKUP($B65,ODCC!O:P,2,FALSE),"")</f>
        <v/>
      </c>
      <c r="I65" s="187" t="str">
        <f>IFERROR(VLOOKUP($B65,Elmira!S:T,2,FALSE),"")</f>
        <v/>
      </c>
      <c r="J65" s="187" t="str">
        <f>IFERROR(VLOOKUP($B65,Chatham!K:L,2,FALSE),"")</f>
        <v/>
      </c>
      <c r="K65" s="187" t="str">
        <f>IFERROR(VLOOKUP($B65,London!AM:AN,2,FALSE),"")</f>
        <v/>
      </c>
      <c r="L65" s="187" t="str">
        <f>IFERROR(VLOOKUP($B65,'US Open'!A:B,2,FALSE),"")</f>
        <v/>
      </c>
      <c r="M65" s="25" t="str">
        <f>IFERROR(VLOOKUP($B65,'Ontario Singles'!A:B,2,FALSE),"")</f>
        <v/>
      </c>
      <c r="N65" s="10"/>
      <c r="O65" s="19">
        <f>IFERROR(LARGE(D65:M65,1),0)+IFERROR(LARGE(D65:M65,2),0)+IFERROR(LARGE(D65:M65,3),0)+IFERROR(LARGE(D65:M65,4),0)</f>
        <v>43</v>
      </c>
      <c r="P65" s="20">
        <f>SUM(D65:M65)/C65</f>
        <v>21.5</v>
      </c>
      <c r="R65" s="2"/>
      <c r="S65" s="2"/>
      <c r="T65" s="22"/>
      <c r="U65" s="28"/>
      <c r="V65" s="22"/>
      <c r="W65" s="10"/>
    </row>
    <row r="66" spans="1:26" s="8" customFormat="1" ht="18.75" customHeight="1" thickBot="1">
      <c r="A66" s="15">
        <f>RANK(O66,O$5:O$197)</f>
        <v>61</v>
      </c>
      <c r="B66" s="23" t="s">
        <v>31</v>
      </c>
      <c r="C66" s="17">
        <f>COUNT(D66:M66)</f>
        <v>2</v>
      </c>
      <c r="D66" s="116">
        <f>IFERROR(VLOOKUP($B66,'NCA Players Doubles'!$Z:$AB,3,FALSE),IFERROR(VLOOKUP($B66,'NCA Players Doubles'!$AA:$AB,2,FALSE),""))</f>
        <v>23</v>
      </c>
      <c r="E66" s="4">
        <f>IFERROR(VLOOKUP($B66,'NCA Players Singles'!$V:$W,2,FALSE),"")</f>
        <v>20</v>
      </c>
      <c r="F66" s="26" t="str">
        <f>IFERROR(VLOOKUP($B66,Belleville!$U:$V,2,FALSE),"")</f>
        <v/>
      </c>
      <c r="G66" s="187" t="str">
        <f>IFERROR(VLOOKUP($B66,'Owen Sound'!$Z:$AA,2,FALSE),"")</f>
        <v/>
      </c>
      <c r="H66" s="187" t="str">
        <f>IFERROR(VLOOKUP($B66,ODCC!O:P,2,FALSE),"")</f>
        <v/>
      </c>
      <c r="I66" s="187" t="str">
        <f>IFERROR(VLOOKUP($B66,Elmira!S:T,2,FALSE),"")</f>
        <v/>
      </c>
      <c r="J66" s="187" t="str">
        <f>IFERROR(VLOOKUP($B66,Chatham!K:L,2,FALSE),"")</f>
        <v/>
      </c>
      <c r="K66" s="187" t="str">
        <f>IFERROR(VLOOKUP($B66,London!AM:AN,2,FALSE),"")</f>
        <v/>
      </c>
      <c r="L66" s="187" t="str">
        <f>IFERROR(VLOOKUP($B66,'US Open'!A:B,2,FALSE),"")</f>
        <v/>
      </c>
      <c r="M66" s="25" t="str">
        <f>IFERROR(VLOOKUP($B66,'Ontario Singles'!A:B,2,FALSE),"")</f>
        <v/>
      </c>
      <c r="N66" s="10"/>
      <c r="O66" s="19">
        <f>IFERROR(LARGE(D66:M66,1),0)+IFERROR(LARGE(D66:M66,2),0)+IFERROR(LARGE(D66:M66,3),0)+IFERROR(LARGE(D66:M66,4),0)</f>
        <v>43</v>
      </c>
      <c r="P66" s="20">
        <f>SUM(D66:M66)/C66</f>
        <v>21.5</v>
      </c>
      <c r="R66" s="2"/>
      <c r="S66" s="2"/>
      <c r="T66" s="22"/>
      <c r="U66" s="28"/>
      <c r="V66" s="22"/>
      <c r="W66" s="10"/>
    </row>
    <row r="67" spans="1:26" s="8" customFormat="1" ht="18.75" customHeight="1" thickBot="1">
      <c r="A67" s="15">
        <f>RANK(O67,O$5:O$197)</f>
        <v>63</v>
      </c>
      <c r="B67" s="23" t="s">
        <v>128</v>
      </c>
      <c r="C67" s="17">
        <f>COUNT(D67:M67)</f>
        <v>2</v>
      </c>
      <c r="D67" s="116">
        <f>IFERROR(VLOOKUP($B67,'NCA Players Doubles'!$Z:$AB,3,FALSE),IFERROR(VLOOKUP($B67,'NCA Players Doubles'!$AA:$AB,2,FALSE),""))</f>
        <v>22</v>
      </c>
      <c r="E67" s="4">
        <f>IFERROR(VLOOKUP($B67,'NCA Players Singles'!$V:$W,2,FALSE),"")</f>
        <v>20</v>
      </c>
      <c r="F67" s="26" t="str">
        <f>IFERROR(VLOOKUP($B67,Belleville!$U:$V,2,FALSE),"")</f>
        <v/>
      </c>
      <c r="G67" s="187" t="str">
        <f>IFERROR(VLOOKUP($B67,'Owen Sound'!$Z:$AA,2,FALSE),"")</f>
        <v/>
      </c>
      <c r="H67" s="187" t="str">
        <f>IFERROR(VLOOKUP($B67,ODCC!O:P,2,FALSE),"")</f>
        <v/>
      </c>
      <c r="I67" s="187" t="str">
        <f>IFERROR(VLOOKUP($B67,Elmira!S:T,2,FALSE),"")</f>
        <v/>
      </c>
      <c r="J67" s="187" t="str">
        <f>IFERROR(VLOOKUP($B67,Chatham!K:L,2,FALSE),"")</f>
        <v/>
      </c>
      <c r="K67" s="187" t="str">
        <f>IFERROR(VLOOKUP($B67,London!AM:AN,2,FALSE),"")</f>
        <v/>
      </c>
      <c r="L67" s="187" t="str">
        <f>IFERROR(VLOOKUP($B67,'US Open'!A:B,2,FALSE),"")</f>
        <v/>
      </c>
      <c r="M67" s="25" t="str">
        <f>IFERROR(VLOOKUP($B67,'Ontario Singles'!A:B,2,FALSE),"")</f>
        <v/>
      </c>
      <c r="N67" s="30"/>
      <c r="O67" s="19">
        <f>IFERROR(LARGE(D67:M67,1),0)+IFERROR(LARGE(D67:M67,2),0)+IFERROR(LARGE(D67:M67,3),0)+IFERROR(LARGE(D67:M67,4),0)</f>
        <v>42</v>
      </c>
      <c r="P67" s="20">
        <f>SUM(D67:M67)/C67</f>
        <v>21</v>
      </c>
      <c r="R67" s="2"/>
      <c r="S67" s="2"/>
      <c r="T67" s="22"/>
      <c r="U67" s="28"/>
      <c r="V67" s="22"/>
      <c r="W67" s="10"/>
    </row>
    <row r="68" spans="1:26" s="8" customFormat="1" ht="18.75" customHeight="1" thickBot="1">
      <c r="A68" s="15">
        <f>RANK(O68,O$5:O$197)</f>
        <v>63</v>
      </c>
      <c r="B68" s="23" t="s">
        <v>327</v>
      </c>
      <c r="C68" s="17">
        <f>COUNT(D68:M68)</f>
        <v>2</v>
      </c>
      <c r="D68" s="116" t="str">
        <f>IFERROR(VLOOKUP($B68,'NCA Players Doubles'!$Z:$AB,3,FALSE),IFERROR(VLOOKUP($B68,'NCA Players Doubles'!$AA:$AB,2,FALSE),""))</f>
        <v/>
      </c>
      <c r="E68" s="4" t="str">
        <f>IFERROR(VLOOKUP($B68,'NCA Players Singles'!$V:$W,2,FALSE),"")</f>
        <v/>
      </c>
      <c r="F68" s="33" t="str">
        <f>IFERROR(VLOOKUP($B68,Belleville!$U:$V,2,FALSE),"")</f>
        <v/>
      </c>
      <c r="G68" s="187" t="str">
        <f>IFERROR(VLOOKUP($B68,'Owen Sound'!$Z:$AA,2,FALSE),"")</f>
        <v/>
      </c>
      <c r="H68" s="187" t="str">
        <f>IFERROR(VLOOKUP($B68,ODCC!O:P,2,FALSE),"")</f>
        <v/>
      </c>
      <c r="I68" s="187">
        <f>IFERROR(VLOOKUP($B68,Elmira!S:T,2,FALSE),"")</f>
        <v>20</v>
      </c>
      <c r="J68" s="187" t="str">
        <f>IFERROR(VLOOKUP($B68,Chatham!K:L,2,FALSE),"")</f>
        <v/>
      </c>
      <c r="K68" s="187">
        <f>IFERROR(VLOOKUP($B68,London!AM:AN,2,FALSE),"")</f>
        <v>22</v>
      </c>
      <c r="L68" s="187" t="str">
        <f>IFERROR(VLOOKUP($B68,'US Open'!A:B,2,FALSE),"")</f>
        <v/>
      </c>
      <c r="M68" s="25" t="str">
        <f>IFERROR(VLOOKUP($B68,'Ontario Singles'!A:B,2,FALSE),"")</f>
        <v/>
      </c>
      <c r="N68" s="10"/>
      <c r="O68" s="19">
        <f>IFERROR(LARGE(D68:M68,1),0)+IFERROR(LARGE(D68:M68,2),0)+IFERROR(LARGE(D68:M68,3),0)+IFERROR(LARGE(D68:M68,4),0)</f>
        <v>42</v>
      </c>
      <c r="P68" s="20">
        <f>SUM(D68:M68)/C68</f>
        <v>21</v>
      </c>
      <c r="S68" s="2"/>
      <c r="T68" s="36"/>
      <c r="U68" s="5"/>
    </row>
    <row r="69" spans="1:26" s="8" customFormat="1" ht="18.75" customHeight="1" thickBot="1">
      <c r="A69" s="15">
        <f>RANK(O69,O$5:O$197)</f>
        <v>65</v>
      </c>
      <c r="B69" s="23" t="s">
        <v>136</v>
      </c>
      <c r="C69" s="17">
        <f>COUNT(D69:M69)</f>
        <v>2</v>
      </c>
      <c r="D69" s="116">
        <f>IFERROR(VLOOKUP($B69,'NCA Players Doubles'!$Z:$AB,3,FALSE),IFERROR(VLOOKUP($B69,'NCA Players Doubles'!$AA:$AB,2,FALSE),""))</f>
        <v>20</v>
      </c>
      <c r="E69" s="4">
        <f>IFERROR(VLOOKUP($B69,'NCA Players Singles'!$V:$W,2,FALSE),"")</f>
        <v>20</v>
      </c>
      <c r="F69" s="33" t="str">
        <f>IFERROR(VLOOKUP($B69,Belleville!$U:$V,2,FALSE),"")</f>
        <v/>
      </c>
      <c r="G69" s="187" t="str">
        <f>IFERROR(VLOOKUP($B69,'Owen Sound'!$Z:$AA,2,FALSE),"")</f>
        <v/>
      </c>
      <c r="H69" s="187" t="str">
        <f>IFERROR(VLOOKUP($B69,ODCC!O:P,2,FALSE),"")</f>
        <v/>
      </c>
      <c r="I69" s="187" t="str">
        <f>IFERROR(VLOOKUP($B69,Elmira!S:T,2,FALSE),"")</f>
        <v/>
      </c>
      <c r="J69" s="187" t="str">
        <f>IFERROR(VLOOKUP($B69,Chatham!K:L,2,FALSE),"")</f>
        <v/>
      </c>
      <c r="K69" s="187" t="str">
        <f>IFERROR(VLOOKUP($B69,London!AM:AN,2,FALSE),"")</f>
        <v/>
      </c>
      <c r="L69" s="187" t="str">
        <f>IFERROR(VLOOKUP($B69,'US Open'!A:B,2,FALSE),"")</f>
        <v/>
      </c>
      <c r="M69" s="25" t="str">
        <f>IFERROR(VLOOKUP($B69,'Ontario Singles'!A:B,2,FALSE),"")</f>
        <v/>
      </c>
      <c r="N69" s="10"/>
      <c r="O69" s="19">
        <f>IFERROR(LARGE(D69:M69,1),0)+IFERROR(LARGE(D69:M69,2),0)+IFERROR(LARGE(D69:M69,3),0)+IFERROR(LARGE(D69:M69,4),0)</f>
        <v>40</v>
      </c>
      <c r="P69" s="20">
        <f>SUM(D69:M69)/C69</f>
        <v>20</v>
      </c>
      <c r="R69" s="2"/>
      <c r="S69" s="2"/>
      <c r="T69" s="22"/>
      <c r="U69" s="28"/>
      <c r="V69" s="22"/>
      <c r="W69" s="10"/>
    </row>
    <row r="70" spans="1:26" s="8" customFormat="1" ht="18.75" customHeight="1" thickBot="1">
      <c r="A70" s="15">
        <f>RANK(O70,O$5:O$197)</f>
        <v>65</v>
      </c>
      <c r="B70" s="23" t="s">
        <v>135</v>
      </c>
      <c r="C70" s="17">
        <f>COUNT(D70:M70)</f>
        <v>2</v>
      </c>
      <c r="D70" s="116">
        <f>IFERROR(VLOOKUP($B70,'NCA Players Doubles'!$Z:$AB,3,FALSE),IFERROR(VLOOKUP($B70,'NCA Players Doubles'!$AA:$AB,2,FALSE),""))</f>
        <v>20</v>
      </c>
      <c r="E70" s="4">
        <f>IFERROR(VLOOKUP($B70,'NCA Players Singles'!$V:$W,2,FALSE),"")</f>
        <v>20</v>
      </c>
      <c r="F70" s="33" t="str">
        <f>IFERROR(VLOOKUP($B70,Belleville!$U:$V,2,FALSE),"")</f>
        <v/>
      </c>
      <c r="G70" s="187" t="str">
        <f>IFERROR(VLOOKUP($B70,'Owen Sound'!$Z:$AA,2,FALSE),"")</f>
        <v/>
      </c>
      <c r="H70" s="187" t="str">
        <f>IFERROR(VLOOKUP($B70,ODCC!O:P,2,FALSE),"")</f>
        <v/>
      </c>
      <c r="I70" s="187" t="str">
        <f>IFERROR(VLOOKUP($B70,Elmira!S:T,2,FALSE),"")</f>
        <v/>
      </c>
      <c r="J70" s="187" t="str">
        <f>IFERROR(VLOOKUP($B70,Chatham!K:L,2,FALSE),"")</f>
        <v/>
      </c>
      <c r="K70" s="187" t="str">
        <f>IFERROR(VLOOKUP($B70,London!AM:AN,2,FALSE),"")</f>
        <v/>
      </c>
      <c r="L70" s="187" t="str">
        <f>IFERROR(VLOOKUP($B70,'US Open'!A:B,2,FALSE),"")</f>
        <v/>
      </c>
      <c r="M70" s="25" t="str">
        <f>IFERROR(VLOOKUP($B70,'Ontario Singles'!A:B,2,FALSE),"")</f>
        <v/>
      </c>
      <c r="N70" s="10"/>
      <c r="O70" s="19">
        <f>IFERROR(LARGE(D70:M70,1),0)+IFERROR(LARGE(D70:M70,2),0)+IFERROR(LARGE(D70:M70,3),0)+IFERROR(LARGE(D70:M70,4),0)</f>
        <v>40</v>
      </c>
      <c r="P70" s="20">
        <f>SUM(D70:M70)/C70</f>
        <v>20</v>
      </c>
      <c r="Q70" s="21"/>
      <c r="R70" s="2"/>
      <c r="S70" s="2"/>
      <c r="T70" s="36"/>
      <c r="U70" s="28"/>
      <c r="V70" s="22"/>
      <c r="W70" s="32"/>
      <c r="X70" s="32"/>
      <c r="Y70" s="32"/>
      <c r="Z70" s="22"/>
    </row>
    <row r="71" spans="1:26" s="8" customFormat="1" ht="18.75" customHeight="1" thickBot="1">
      <c r="A71" s="15">
        <f>RANK(O71,O$5:O$197)</f>
        <v>65</v>
      </c>
      <c r="B71" s="23" t="s">
        <v>423</v>
      </c>
      <c r="C71" s="17">
        <f>COUNT(D71:M71)</f>
        <v>2</v>
      </c>
      <c r="D71" s="116">
        <f>IFERROR(VLOOKUP($B71,'NCA Players Doubles'!$Z:$AB,3,FALSE),IFERROR(VLOOKUP($B71,'NCA Players Doubles'!$AA:$AB,2,FALSE),""))</f>
        <v>20</v>
      </c>
      <c r="E71" s="4" t="str">
        <f>IFERROR(VLOOKUP($B71,'NCA Players Singles'!$V:$W,2,FALSE),"")</f>
        <v/>
      </c>
      <c r="F71" s="18" t="str">
        <f>IFERROR(VLOOKUP($B71,Belleville!$U:$V,2,FALSE),"")</f>
        <v/>
      </c>
      <c r="G71" s="187">
        <f>IFERROR(VLOOKUP($B71,'Owen Sound'!$Z:$AA,2,FALSE),"")</f>
        <v>20</v>
      </c>
      <c r="H71" s="187" t="str">
        <f>IFERROR(VLOOKUP($B71,ODCC!O:P,2,FALSE),"")</f>
        <v/>
      </c>
      <c r="I71" s="187" t="str">
        <f>IFERROR(VLOOKUP($B71,Elmira!S:T,2,FALSE),"")</f>
        <v/>
      </c>
      <c r="J71" s="187" t="str">
        <f>IFERROR(VLOOKUP($B71,Chatham!K:L,2,FALSE),"")</f>
        <v/>
      </c>
      <c r="K71" s="187" t="str">
        <f>IFERROR(VLOOKUP($B71,London!AM:AN,2,FALSE),"")</f>
        <v/>
      </c>
      <c r="L71" s="187" t="str">
        <f>IFERROR(VLOOKUP($B71,'US Open'!A:B,2,FALSE),"")</f>
        <v/>
      </c>
      <c r="M71" s="25" t="str">
        <f>IFERROR(VLOOKUP($B71,'Ontario Singles'!A:B,2,FALSE),"")</f>
        <v/>
      </c>
      <c r="N71" s="10"/>
      <c r="O71" s="19">
        <f>IFERROR(LARGE(D71:M71,1),0)+IFERROR(LARGE(D71:M71,2),0)+IFERROR(LARGE(D71:M71,3),0)+IFERROR(LARGE(D71:M71,4),0)</f>
        <v>40</v>
      </c>
      <c r="P71" s="20">
        <f>SUM(D71:M71)/C71</f>
        <v>20</v>
      </c>
      <c r="Q71" s="21"/>
      <c r="R71" s="2"/>
      <c r="S71" s="2"/>
      <c r="T71" s="36"/>
      <c r="U71" s="10"/>
      <c r="V71" s="22"/>
      <c r="W71" s="10"/>
    </row>
    <row r="72" spans="1:26" s="8" customFormat="1" ht="18.75" customHeight="1" thickBot="1">
      <c r="A72" s="15">
        <f>RANK(O72,O$5:O$197)</f>
        <v>65</v>
      </c>
      <c r="B72" s="23" t="s">
        <v>53</v>
      </c>
      <c r="C72" s="17">
        <f>COUNT(D72:M72)</f>
        <v>2</v>
      </c>
      <c r="D72" s="116">
        <f>IFERROR(VLOOKUP($B72,'NCA Players Doubles'!$Z:$AB,3,FALSE),IFERROR(VLOOKUP($B72,'NCA Players Doubles'!$AA:$AB,2,FALSE),""))</f>
        <v>20</v>
      </c>
      <c r="E72" s="4" t="str">
        <f>IFERROR(VLOOKUP($B72,'NCA Players Singles'!$V:$W,2,FALSE),"")</f>
        <v/>
      </c>
      <c r="F72" s="33" t="str">
        <f>IFERROR(VLOOKUP($B72,Belleville!$U:$V,2,FALSE),"")</f>
        <v/>
      </c>
      <c r="G72" s="187">
        <f>IFERROR(VLOOKUP($B72,'Owen Sound'!$Z:$AA,2,FALSE),"")</f>
        <v>20</v>
      </c>
      <c r="H72" s="187" t="str">
        <f>IFERROR(VLOOKUP($B72,ODCC!O:P,2,FALSE),"")</f>
        <v/>
      </c>
      <c r="I72" s="187" t="str">
        <f>IFERROR(VLOOKUP($B72,Elmira!S:T,2,FALSE),"")</f>
        <v/>
      </c>
      <c r="J72" s="187" t="str">
        <f>IFERROR(VLOOKUP($B72,Chatham!K:L,2,FALSE),"")</f>
        <v/>
      </c>
      <c r="K72" s="187" t="str">
        <f>IFERROR(VLOOKUP($B72,London!AM:AN,2,FALSE),"")</f>
        <v/>
      </c>
      <c r="L72" s="187" t="str">
        <f>IFERROR(VLOOKUP($B72,'US Open'!A:B,2,FALSE),"")</f>
        <v/>
      </c>
      <c r="M72" s="25" t="str">
        <f>IFERROR(VLOOKUP($B72,'Ontario Singles'!A:B,2,FALSE),"")</f>
        <v/>
      </c>
      <c r="N72" s="10"/>
      <c r="O72" s="19">
        <f>IFERROR(LARGE(D72:M72,1),0)+IFERROR(LARGE(D72:M72,2),0)+IFERROR(LARGE(D72:M72,3),0)+IFERROR(LARGE(D72:M72,4),0)</f>
        <v>40</v>
      </c>
      <c r="P72" s="20">
        <f>SUM(D72:M72)/C72</f>
        <v>20</v>
      </c>
      <c r="Q72" s="21"/>
      <c r="R72" s="2"/>
      <c r="S72" s="2"/>
      <c r="T72" s="36"/>
      <c r="U72" s="10"/>
      <c r="V72" s="36"/>
      <c r="W72" s="10"/>
    </row>
    <row r="73" spans="1:26" s="8" customFormat="1" ht="18.75" customHeight="1" thickBot="1">
      <c r="A73" s="15">
        <f>RANK(O73,O$5:O$197)</f>
        <v>65</v>
      </c>
      <c r="B73" s="23" t="s">
        <v>329</v>
      </c>
      <c r="C73" s="17">
        <f>COUNT(D73:M73)</f>
        <v>2</v>
      </c>
      <c r="D73" s="116" t="str">
        <f>IFERROR(VLOOKUP($B73,'NCA Players Doubles'!$Z:$AB,3,FALSE),IFERROR(VLOOKUP($B73,'NCA Players Doubles'!$AA:$AB,2,FALSE),""))</f>
        <v/>
      </c>
      <c r="E73" s="4" t="str">
        <f>IFERROR(VLOOKUP($B73,'NCA Players Singles'!$V:$W,2,FALSE),"")</f>
        <v/>
      </c>
      <c r="F73" s="26" t="str">
        <f>IFERROR(VLOOKUP($B73,Belleville!$U:$V,2,FALSE),"")</f>
        <v/>
      </c>
      <c r="G73" s="187" t="str">
        <f>IFERROR(VLOOKUP($B73,'Owen Sound'!$Z:$AA,2,FALSE),"")</f>
        <v/>
      </c>
      <c r="H73" s="187" t="str">
        <f>IFERROR(VLOOKUP($B73,ODCC!O:P,2,FALSE),"")</f>
        <v/>
      </c>
      <c r="I73" s="187">
        <f>IFERROR(VLOOKUP($B73,Elmira!S:T,2,FALSE),"")</f>
        <v>20</v>
      </c>
      <c r="J73" s="187" t="str">
        <f>IFERROR(VLOOKUP($B73,Chatham!K:L,2,FALSE),"")</f>
        <v/>
      </c>
      <c r="K73" s="187" t="str">
        <f>IFERROR(VLOOKUP($B73,London!AM:AN,2,FALSE),"")</f>
        <v/>
      </c>
      <c r="L73" s="187" t="str">
        <f>IFERROR(VLOOKUP($B73,'US Open'!A:B,2,FALSE),"")</f>
        <v/>
      </c>
      <c r="M73" s="25">
        <f>IFERROR(VLOOKUP($B73,'Ontario Singles'!A:B,2,FALSE),"")</f>
        <v>20</v>
      </c>
      <c r="N73" s="30"/>
      <c r="O73" s="19">
        <f>IFERROR(LARGE(D73:M73,1),0)+IFERROR(LARGE(D73:M73,2),0)+IFERROR(LARGE(D73:M73,3),0)+IFERROR(LARGE(D73:M73,4),0)</f>
        <v>40</v>
      </c>
      <c r="P73" s="20">
        <f>SUM(D73:M73)/C73</f>
        <v>20</v>
      </c>
      <c r="S73" s="2"/>
      <c r="T73" s="36"/>
      <c r="U73" s="5"/>
    </row>
    <row r="74" spans="1:26" s="8" customFormat="1" ht="18.75" customHeight="1" thickBot="1">
      <c r="A74" s="15">
        <f>RANK(O74,O$5:O$197)</f>
        <v>65</v>
      </c>
      <c r="B74" s="23" t="s">
        <v>504</v>
      </c>
      <c r="C74" s="17">
        <f>COUNT(D74:M74)</f>
        <v>1</v>
      </c>
      <c r="D74" s="116" t="str">
        <f>IFERROR(VLOOKUP($B74,'NCA Players Doubles'!$Z:$AB,3,FALSE),IFERROR(VLOOKUP($B74,'NCA Players Doubles'!$AA:$AB,2,FALSE),""))</f>
        <v/>
      </c>
      <c r="E74" s="4" t="str">
        <f>IFERROR(VLOOKUP($B74,'NCA Players Singles'!$V:$W,2,FALSE),"")</f>
        <v/>
      </c>
      <c r="F74" s="26" t="str">
        <f>IFERROR(VLOOKUP($B74,Belleville!$U:$V,2,FALSE),"")</f>
        <v/>
      </c>
      <c r="G74" s="187" t="str">
        <f>IFERROR(VLOOKUP($B74,'Owen Sound'!$Z:$AA,2,FALSE),"")</f>
        <v/>
      </c>
      <c r="H74" s="187" t="str">
        <f>IFERROR(VLOOKUP($B74,ODCC!O:P,2,FALSE),"")</f>
        <v/>
      </c>
      <c r="I74" s="187" t="str">
        <f>IFERROR(VLOOKUP($B74,Elmira!S:T,2,FALSE),"")</f>
        <v/>
      </c>
      <c r="J74" s="187" t="str">
        <f>IFERROR(VLOOKUP($B74,Chatham!K:L,2,FALSE),"")</f>
        <v/>
      </c>
      <c r="K74" s="187" t="str">
        <f>IFERROR(VLOOKUP($B74,London!AM:AN,2,FALSE),"")</f>
        <v/>
      </c>
      <c r="L74" s="187">
        <f>IFERROR(VLOOKUP($B74,'US Open'!A:B,2,FALSE),"")</f>
        <v>40</v>
      </c>
      <c r="M74" s="25" t="str">
        <f>IFERROR(VLOOKUP($B74,'Ontario Singles'!A:B,2,FALSE),"")</f>
        <v/>
      </c>
      <c r="N74" s="30"/>
      <c r="O74" s="19">
        <f>IFERROR(LARGE(D74:M74,1),0)+IFERROR(LARGE(D74:M74,2),0)+IFERROR(LARGE(D74:M74,3),0)+IFERROR(LARGE(D74:M74,4),0)</f>
        <v>40</v>
      </c>
      <c r="P74" s="20">
        <f>SUM(D74:M74)/C74</f>
        <v>40</v>
      </c>
      <c r="S74" s="2"/>
      <c r="T74" s="36"/>
      <c r="U74" s="5"/>
    </row>
    <row r="75" spans="1:26" s="8" customFormat="1" ht="18.75" customHeight="1" thickBot="1">
      <c r="A75" s="15">
        <f>RANK(O75,O$5:O$197)</f>
        <v>65</v>
      </c>
      <c r="B75" s="23" t="s">
        <v>478</v>
      </c>
      <c r="C75" s="17">
        <f>COUNT(D75:M75)</f>
        <v>1</v>
      </c>
      <c r="D75" s="116" t="str">
        <f>IFERROR(VLOOKUP($B75,'NCA Players Doubles'!$Z:$AB,3,FALSE),IFERROR(VLOOKUP($B75,'NCA Players Doubles'!$AA:$AB,2,FALSE),""))</f>
        <v/>
      </c>
      <c r="E75" s="4" t="str">
        <f>IFERROR(VLOOKUP($B75,'NCA Players Singles'!$V:$W,2,FALSE),"")</f>
        <v/>
      </c>
      <c r="F75" s="24" t="str">
        <f>IFERROR(VLOOKUP($B75,Belleville!$U:$V,2,FALSE),"")</f>
        <v/>
      </c>
      <c r="G75" s="187" t="str">
        <f>IFERROR(VLOOKUP($B75,'Owen Sound'!$Z:$AA,2,FALSE),"")</f>
        <v/>
      </c>
      <c r="H75" s="187" t="str">
        <f>IFERROR(VLOOKUP($B75,ODCC!O:P,2,FALSE),"")</f>
        <v/>
      </c>
      <c r="I75" s="187" t="str">
        <f>IFERROR(VLOOKUP($B75,Elmira!S:T,2,FALSE),"")</f>
        <v/>
      </c>
      <c r="J75" s="187" t="str">
        <f>IFERROR(VLOOKUP($B75,Chatham!K:L,2,FALSE),"")</f>
        <v/>
      </c>
      <c r="K75" s="187" t="str">
        <f>IFERROR(VLOOKUP($B75,London!AM:AN,2,FALSE),"")</f>
        <v/>
      </c>
      <c r="L75" s="187">
        <f>IFERROR(VLOOKUP($B75,'US Open'!A:B,2,FALSE),"")</f>
        <v>40</v>
      </c>
      <c r="M75" s="25" t="str">
        <f>IFERROR(VLOOKUP($B75,'Ontario Singles'!A:B,2,FALSE),"")</f>
        <v/>
      </c>
      <c r="N75" s="30"/>
      <c r="O75" s="19">
        <f>IFERROR(LARGE(D75:M75,1),0)+IFERROR(LARGE(D75:M75,2),0)+IFERROR(LARGE(D75:M75,3),0)+IFERROR(LARGE(D75:M75,4),0)</f>
        <v>40</v>
      </c>
      <c r="P75" s="20">
        <f>SUM(D75:M75)/C75</f>
        <v>40</v>
      </c>
    </row>
    <row r="76" spans="1:26" s="8" customFormat="1" ht="18.75" customHeight="1" thickBot="1">
      <c r="A76" s="15">
        <f>RANK(O76,O$5:O$197)</f>
        <v>72</v>
      </c>
      <c r="B76" s="23" t="s">
        <v>505</v>
      </c>
      <c r="C76" s="17">
        <f>COUNT(D76:M76)</f>
        <v>1</v>
      </c>
      <c r="D76" s="116" t="str">
        <f>IFERROR(VLOOKUP($B76,'NCA Players Doubles'!$Z:$AB,3,FALSE),IFERROR(VLOOKUP($B76,'NCA Players Doubles'!$AA:$AB,2,FALSE),""))</f>
        <v/>
      </c>
      <c r="E76" s="4" t="str">
        <f>IFERROR(VLOOKUP($B76,'NCA Players Singles'!$V:$W,2,FALSE),"")</f>
        <v/>
      </c>
      <c r="F76" s="26" t="str">
        <f>IFERROR(VLOOKUP($B76,Belleville!$U:$V,2,FALSE),"")</f>
        <v/>
      </c>
      <c r="G76" s="187" t="str">
        <f>IFERROR(VLOOKUP($B76,'Owen Sound'!$Z:$AA,2,FALSE),"")</f>
        <v/>
      </c>
      <c r="H76" s="187" t="str">
        <f>IFERROR(VLOOKUP($B76,ODCC!O:P,2,FALSE),"")</f>
        <v/>
      </c>
      <c r="I76" s="187" t="str">
        <f>IFERROR(VLOOKUP($B76,Elmira!S:T,2,FALSE),"")</f>
        <v/>
      </c>
      <c r="J76" s="187" t="str">
        <f>IFERROR(VLOOKUP($B76,Chatham!K:L,2,FALSE),"")</f>
        <v/>
      </c>
      <c r="K76" s="187" t="str">
        <f>IFERROR(VLOOKUP($B76,London!AM:AN,2,FALSE),"")</f>
        <v/>
      </c>
      <c r="L76" s="187">
        <f>IFERROR(VLOOKUP($B76,'US Open'!A:B,2,FALSE),"")</f>
        <v>39</v>
      </c>
      <c r="M76" s="25" t="str">
        <f>IFERROR(VLOOKUP($B76,'Ontario Singles'!A:B,2,FALSE),"")</f>
        <v/>
      </c>
      <c r="N76" s="10"/>
      <c r="O76" s="19">
        <f>IFERROR(LARGE(D76:M76,1),0)+IFERROR(LARGE(D76:M76,2),0)+IFERROR(LARGE(D76:M76,3),0)+IFERROR(LARGE(D76:M76,4),0)</f>
        <v>39</v>
      </c>
      <c r="P76" s="20">
        <f>SUM(D76:M76)/C76</f>
        <v>39</v>
      </c>
      <c r="S76" s="2"/>
      <c r="T76" s="36"/>
      <c r="U76" s="5"/>
    </row>
    <row r="77" spans="1:26" s="8" customFormat="1" ht="18.75" customHeight="1" thickBot="1">
      <c r="A77" s="15">
        <f>RANK(O77,O$5:O$197)</f>
        <v>72</v>
      </c>
      <c r="B77" s="23" t="s">
        <v>479</v>
      </c>
      <c r="C77" s="17">
        <f>COUNT(D77:M77)</f>
        <v>1</v>
      </c>
      <c r="D77" s="116" t="str">
        <f>IFERROR(VLOOKUP($B77,'NCA Players Doubles'!$Z:$AB,3,FALSE),IFERROR(VLOOKUP($B77,'NCA Players Doubles'!$AA:$AB,2,FALSE),""))</f>
        <v/>
      </c>
      <c r="E77" s="4" t="str">
        <f>IFERROR(VLOOKUP($B77,'NCA Players Singles'!$V:$W,2,FALSE),"")</f>
        <v/>
      </c>
      <c r="F77" s="18" t="str">
        <f>IFERROR(VLOOKUP($B77,Belleville!$U:$V,2,FALSE),"")</f>
        <v/>
      </c>
      <c r="G77" s="187" t="str">
        <f>IFERROR(VLOOKUP($B77,'Owen Sound'!$Z:$AA,2,FALSE),"")</f>
        <v/>
      </c>
      <c r="H77" s="187" t="str">
        <f>IFERROR(VLOOKUP($B77,ODCC!O:P,2,FALSE),"")</f>
        <v/>
      </c>
      <c r="I77" s="187" t="str">
        <f>IFERROR(VLOOKUP($B77,Elmira!S:T,2,FALSE),"")</f>
        <v/>
      </c>
      <c r="J77" s="187" t="str">
        <f>IFERROR(VLOOKUP($B77,Chatham!K:L,2,FALSE),"")</f>
        <v/>
      </c>
      <c r="K77" s="187" t="str">
        <f>IFERROR(VLOOKUP($B77,London!AM:AN,2,FALSE),"")</f>
        <v/>
      </c>
      <c r="L77" s="187">
        <f>IFERROR(VLOOKUP($B77,'US Open'!A:B,2,FALSE),"")</f>
        <v>39</v>
      </c>
      <c r="M77" s="25" t="str">
        <f>IFERROR(VLOOKUP($B77,'Ontario Singles'!A:B,2,FALSE),"")</f>
        <v/>
      </c>
      <c r="N77" s="10"/>
      <c r="O77" s="19">
        <f>IFERROR(LARGE(D77:M77,1),0)+IFERROR(LARGE(D77:M77,2),0)+IFERROR(LARGE(D77:M77,3),0)+IFERROR(LARGE(D77:M77,4),0)</f>
        <v>39</v>
      </c>
      <c r="P77" s="20">
        <f>SUM(D77:M77)/C77</f>
        <v>39</v>
      </c>
    </row>
    <row r="78" spans="1:26" s="8" customFormat="1" ht="18.75" customHeight="1" thickBot="1">
      <c r="A78" s="15">
        <f>RANK(O78,O$5:O$197)</f>
        <v>74</v>
      </c>
      <c r="B78" s="23" t="s">
        <v>506</v>
      </c>
      <c r="C78" s="17">
        <f>COUNT(D78:M78)</f>
        <v>1</v>
      </c>
      <c r="D78" s="116" t="str">
        <f>IFERROR(VLOOKUP($B78,'NCA Players Doubles'!$Z:$AB,3,FALSE),IFERROR(VLOOKUP($B78,'NCA Players Doubles'!$AA:$AB,2,FALSE),""))</f>
        <v/>
      </c>
      <c r="E78" s="4" t="str">
        <f>IFERROR(VLOOKUP($B78,'NCA Players Singles'!$V:$W,2,FALSE),"")</f>
        <v/>
      </c>
      <c r="F78" s="31" t="str">
        <f>IFERROR(VLOOKUP($B78,Belleville!$U:$V,2,FALSE),"")</f>
        <v/>
      </c>
      <c r="G78" s="187" t="str">
        <f>IFERROR(VLOOKUP($B78,'Owen Sound'!$Z:$AA,2,FALSE),"")</f>
        <v/>
      </c>
      <c r="H78" s="187" t="str">
        <f>IFERROR(VLOOKUP($B78,ODCC!O:P,2,FALSE),"")</f>
        <v/>
      </c>
      <c r="I78" s="187" t="str">
        <f>IFERROR(VLOOKUP($B78,Elmira!S:T,2,FALSE),"")</f>
        <v/>
      </c>
      <c r="J78" s="187" t="str">
        <f>IFERROR(VLOOKUP($B78,Chatham!K:L,2,FALSE),"")</f>
        <v/>
      </c>
      <c r="K78" s="187" t="str">
        <f>IFERROR(VLOOKUP($B78,London!AM:AN,2,FALSE),"")</f>
        <v/>
      </c>
      <c r="L78" s="187">
        <f>IFERROR(VLOOKUP($B78,'US Open'!A:B,2,FALSE),"")</f>
        <v>38</v>
      </c>
      <c r="M78" s="25" t="str">
        <f>IFERROR(VLOOKUP($B78,'Ontario Singles'!A:B,2,FALSE),"")</f>
        <v/>
      </c>
      <c r="N78" s="10"/>
      <c r="O78" s="19">
        <f>IFERROR(LARGE(D78:M78,1),0)+IFERROR(LARGE(D78:M78,2),0)+IFERROR(LARGE(D78:M78,3),0)+IFERROR(LARGE(D78:M78,4),0)</f>
        <v>38</v>
      </c>
      <c r="P78" s="20">
        <f>SUM(D78:M78)/C78</f>
        <v>38</v>
      </c>
      <c r="S78" s="2"/>
      <c r="T78" s="36"/>
      <c r="U78" s="5"/>
    </row>
    <row r="79" spans="1:26" s="8" customFormat="1" ht="18.75" customHeight="1" thickBot="1">
      <c r="A79" s="15">
        <f>RANK(O79,O$5:O$197)</f>
        <v>74</v>
      </c>
      <c r="B79" s="23" t="s">
        <v>480</v>
      </c>
      <c r="C79" s="17">
        <f>COUNT(D79:M79)</f>
        <v>1</v>
      </c>
      <c r="D79" s="116" t="str">
        <f>IFERROR(VLOOKUP($B79,'NCA Players Doubles'!$Z:$AB,3,FALSE),IFERROR(VLOOKUP($B79,'NCA Players Doubles'!$AA:$AB,2,FALSE),""))</f>
        <v/>
      </c>
      <c r="E79" s="4" t="str">
        <f>IFERROR(VLOOKUP($B79,'NCA Players Singles'!$V:$W,2,FALSE),"")</f>
        <v/>
      </c>
      <c r="F79" s="24" t="str">
        <f>IFERROR(VLOOKUP($B79,Belleville!$U:$V,2,FALSE),"")</f>
        <v/>
      </c>
      <c r="G79" s="187" t="str">
        <f>IFERROR(VLOOKUP($B79,'Owen Sound'!$Z:$AA,2,FALSE),"")</f>
        <v/>
      </c>
      <c r="H79" s="187" t="str">
        <f>IFERROR(VLOOKUP($B79,ODCC!O:P,2,FALSE),"")</f>
        <v/>
      </c>
      <c r="I79" s="187" t="str">
        <f>IFERROR(VLOOKUP($B79,Elmira!S:T,2,FALSE),"")</f>
        <v/>
      </c>
      <c r="J79" s="187" t="str">
        <f>IFERROR(VLOOKUP($B79,Chatham!K:L,2,FALSE),"")</f>
        <v/>
      </c>
      <c r="K79" s="187" t="str">
        <f>IFERROR(VLOOKUP($B79,London!AM:AN,2,FALSE),"")</f>
        <v/>
      </c>
      <c r="L79" s="187">
        <f>IFERROR(VLOOKUP($B79,'US Open'!A:B,2,FALSE),"")</f>
        <v>38</v>
      </c>
      <c r="M79" s="25" t="str">
        <f>IFERROR(VLOOKUP($B79,'Ontario Singles'!A:B,2,FALSE),"")</f>
        <v/>
      </c>
      <c r="N79" s="10"/>
      <c r="O79" s="19">
        <f>IFERROR(LARGE(D79:M79,1),0)+IFERROR(LARGE(D79:M79,2),0)+IFERROR(LARGE(D79:M79,3),0)+IFERROR(LARGE(D79:M79,4),0)</f>
        <v>38</v>
      </c>
      <c r="P79" s="20">
        <f>SUM(D79:M79)/C79</f>
        <v>38</v>
      </c>
    </row>
    <row r="80" spans="1:26" s="8" customFormat="1" ht="18.75" customHeight="1" thickBot="1">
      <c r="A80" s="15">
        <f>RANK(O80,O$5:O$197)</f>
        <v>76</v>
      </c>
      <c r="B80" s="23" t="s">
        <v>213</v>
      </c>
      <c r="C80" s="17">
        <f>COUNT(D80:M80)</f>
        <v>1</v>
      </c>
      <c r="D80" s="116" t="str">
        <f>IFERROR(VLOOKUP($B80,'NCA Players Doubles'!$Z:$AB,3,FALSE),IFERROR(VLOOKUP($B80,'NCA Players Doubles'!$AA:$AB,2,FALSE),""))</f>
        <v/>
      </c>
      <c r="E80" s="4" t="str">
        <f>IFERROR(VLOOKUP($B80,'NCA Players Singles'!$V:$W,2,FALSE),"")</f>
        <v/>
      </c>
      <c r="F80" s="33">
        <f>IFERROR(VLOOKUP($B80,Belleville!$U:$V,2,FALSE),"")</f>
        <v>37</v>
      </c>
      <c r="G80" s="187" t="str">
        <f>IFERROR(VLOOKUP($B80,'Owen Sound'!$Z:$AA,2,FALSE),"")</f>
        <v/>
      </c>
      <c r="H80" s="187" t="str">
        <f>IFERROR(VLOOKUP($B80,ODCC!O:P,2,FALSE),"")</f>
        <v/>
      </c>
      <c r="I80" s="187" t="str">
        <f>IFERROR(VLOOKUP($B80,Elmira!S:T,2,FALSE),"")</f>
        <v/>
      </c>
      <c r="J80" s="187" t="str">
        <f>IFERROR(VLOOKUP($B80,Chatham!K:L,2,FALSE),"")</f>
        <v/>
      </c>
      <c r="K80" s="187" t="str">
        <f>IFERROR(VLOOKUP($B80,London!AM:AN,2,FALSE),"")</f>
        <v/>
      </c>
      <c r="L80" s="187" t="str">
        <f>IFERROR(VLOOKUP($B80,'US Open'!A:B,2,FALSE),"")</f>
        <v/>
      </c>
      <c r="M80" s="25" t="str">
        <f>IFERROR(VLOOKUP($B80,'Ontario Singles'!A:B,2,FALSE),"")</f>
        <v/>
      </c>
      <c r="N80" s="10"/>
      <c r="O80" s="19">
        <f>IFERROR(LARGE(D80:M80,1),0)+IFERROR(LARGE(D80:M80,2),0)+IFERROR(LARGE(D80:M80,3),0)+IFERROR(LARGE(D80:M80,4),0)</f>
        <v>37</v>
      </c>
      <c r="P80" s="20">
        <f>SUM(D80:M80)/C80</f>
        <v>37</v>
      </c>
      <c r="R80" s="2"/>
      <c r="S80" s="2"/>
      <c r="T80" s="22"/>
      <c r="U80" s="2"/>
      <c r="V80" s="10"/>
      <c r="W80" s="10"/>
    </row>
    <row r="81" spans="1:23" s="8" customFormat="1" ht="18.75" customHeight="1" thickBot="1">
      <c r="A81" s="15">
        <f>RANK(O81,O$5:O$197)</f>
        <v>76</v>
      </c>
      <c r="B81" s="23" t="s">
        <v>321</v>
      </c>
      <c r="C81" s="17">
        <f>COUNT(D81:M81)</f>
        <v>1</v>
      </c>
      <c r="D81" s="116" t="str">
        <f>IFERROR(VLOOKUP($B81,'NCA Players Doubles'!$Z:$AB,3,FALSE),IFERROR(VLOOKUP($B81,'NCA Players Doubles'!$AA:$AB,2,FALSE),""))</f>
        <v/>
      </c>
      <c r="E81" s="4" t="str">
        <f>IFERROR(VLOOKUP($B81,'NCA Players Singles'!$V:$W,2,FALSE),"")</f>
        <v/>
      </c>
      <c r="F81" s="33" t="str">
        <f>IFERROR(VLOOKUP($B81,Belleville!$U:$V,2,FALSE),"")</f>
        <v/>
      </c>
      <c r="G81" s="187" t="str">
        <f>IFERROR(VLOOKUP($B81,'Owen Sound'!$Z:$AA,2,FALSE),"")</f>
        <v/>
      </c>
      <c r="H81" s="187" t="str">
        <f>IFERROR(VLOOKUP($B81,ODCC!O:P,2,FALSE),"")</f>
        <v/>
      </c>
      <c r="I81" s="187">
        <f>IFERROR(VLOOKUP($B81,Elmira!S:T,2,FALSE),"")</f>
        <v>37</v>
      </c>
      <c r="J81" s="187" t="str">
        <f>IFERROR(VLOOKUP($B81,Chatham!K:L,2,FALSE),"")</f>
        <v/>
      </c>
      <c r="K81" s="187" t="str">
        <f>IFERROR(VLOOKUP($B81,London!AM:AN,2,FALSE),"")</f>
        <v/>
      </c>
      <c r="L81" s="187" t="str">
        <f>IFERROR(VLOOKUP($B81,'US Open'!A:B,2,FALSE),"")</f>
        <v/>
      </c>
      <c r="M81" s="25" t="str">
        <f>IFERROR(VLOOKUP($B81,'Ontario Singles'!A:B,2,FALSE),"")</f>
        <v/>
      </c>
      <c r="N81" s="10"/>
      <c r="O81" s="19">
        <f>IFERROR(LARGE(D81:M81,1),0)+IFERROR(LARGE(D81:M81,2),0)+IFERROR(LARGE(D81:M81,3),0)+IFERROR(LARGE(D81:M81,4),0)</f>
        <v>37</v>
      </c>
      <c r="P81" s="20">
        <f>SUM(D81:M81)/C81</f>
        <v>37</v>
      </c>
      <c r="S81" s="2"/>
      <c r="T81" s="36"/>
      <c r="U81" s="5"/>
    </row>
    <row r="82" spans="1:23" s="8" customFormat="1" ht="18.75" customHeight="1" thickBot="1">
      <c r="A82" s="15">
        <f>RANK(O82,O$5:O$197)</f>
        <v>76</v>
      </c>
      <c r="B82" s="23" t="s">
        <v>507</v>
      </c>
      <c r="C82" s="17">
        <f>COUNT(D82:M82)</f>
        <v>1</v>
      </c>
      <c r="D82" s="116" t="str">
        <f>IFERROR(VLOOKUP($B82,'NCA Players Doubles'!$Z:$AB,3,FALSE),IFERROR(VLOOKUP($B82,'NCA Players Doubles'!$AA:$AB,2,FALSE),""))</f>
        <v/>
      </c>
      <c r="E82" s="4" t="str">
        <f>IFERROR(VLOOKUP($B82,'NCA Players Singles'!$V:$W,2,FALSE),"")</f>
        <v/>
      </c>
      <c r="F82" s="26" t="str">
        <f>IFERROR(VLOOKUP($B82,Belleville!$U:$V,2,FALSE),"")</f>
        <v/>
      </c>
      <c r="G82" s="187" t="str">
        <f>IFERROR(VLOOKUP($B82,'Owen Sound'!$Z:$AA,2,FALSE),"")</f>
        <v/>
      </c>
      <c r="H82" s="187" t="str">
        <f>IFERROR(VLOOKUP($B82,ODCC!O:P,2,FALSE),"")</f>
        <v/>
      </c>
      <c r="I82" s="187" t="str">
        <f>IFERROR(VLOOKUP($B82,Elmira!S:T,2,FALSE),"")</f>
        <v/>
      </c>
      <c r="J82" s="187" t="str">
        <f>IFERROR(VLOOKUP($B82,Chatham!K:L,2,FALSE),"")</f>
        <v/>
      </c>
      <c r="K82" s="187" t="str">
        <f>IFERROR(VLOOKUP($B82,London!AM:AN,2,FALSE),"")</f>
        <v/>
      </c>
      <c r="L82" s="187">
        <f>IFERROR(VLOOKUP($B82,'US Open'!A:B,2,FALSE),"")</f>
        <v>37</v>
      </c>
      <c r="M82" s="25" t="str">
        <f>IFERROR(VLOOKUP($B82,'Ontario Singles'!A:B,2,FALSE),"")</f>
        <v/>
      </c>
      <c r="N82" s="30"/>
      <c r="O82" s="19">
        <f>IFERROR(LARGE(D82:M82,1),0)+IFERROR(LARGE(D82:M82,2),0)+IFERROR(LARGE(D82:M82,3),0)+IFERROR(LARGE(D82:M82,4),0)</f>
        <v>37</v>
      </c>
      <c r="P82" s="20">
        <f>SUM(D82:M82)/C82</f>
        <v>37</v>
      </c>
      <c r="S82" s="2"/>
      <c r="T82" s="36"/>
      <c r="U82" s="5"/>
    </row>
    <row r="83" spans="1:23" s="8" customFormat="1" ht="18.75" customHeight="1" thickBot="1">
      <c r="A83" s="15">
        <f>RANK(O83,O$5:O$197)</f>
        <v>79</v>
      </c>
      <c r="B83" s="23" t="s">
        <v>205</v>
      </c>
      <c r="C83" s="17">
        <f>COUNT(D83:M83)</f>
        <v>1</v>
      </c>
      <c r="D83" s="116" t="str">
        <f>IFERROR(VLOOKUP($B83,'NCA Players Doubles'!$Z:$AB,3,FALSE),IFERROR(VLOOKUP($B83,'NCA Players Doubles'!$AA:$AB,2,FALSE),""))</f>
        <v/>
      </c>
      <c r="E83" s="4" t="str">
        <f>IFERROR(VLOOKUP($B83,'NCA Players Singles'!$V:$W,2,FALSE),"")</f>
        <v/>
      </c>
      <c r="F83" s="24">
        <f>IFERROR(VLOOKUP($B83,Belleville!$U:$V,2,FALSE),"")</f>
        <v>36</v>
      </c>
      <c r="G83" s="187" t="str">
        <f>IFERROR(VLOOKUP($B83,'Owen Sound'!$Z:$AA,2,FALSE),"")</f>
        <v/>
      </c>
      <c r="H83" s="187" t="str">
        <f>IFERROR(VLOOKUP($B83,ODCC!O:P,2,FALSE),"")</f>
        <v/>
      </c>
      <c r="I83" s="187" t="str">
        <f>IFERROR(VLOOKUP($B83,Elmira!S:T,2,FALSE),"")</f>
        <v/>
      </c>
      <c r="J83" s="187" t="str">
        <f>IFERROR(VLOOKUP($B83,Chatham!K:L,2,FALSE),"")</f>
        <v/>
      </c>
      <c r="K83" s="187" t="str">
        <f>IFERROR(VLOOKUP($B83,London!AM:AN,2,FALSE),"")</f>
        <v/>
      </c>
      <c r="L83" s="187" t="str">
        <f>IFERROR(VLOOKUP($B83,'US Open'!A:B,2,FALSE),"")</f>
        <v/>
      </c>
      <c r="M83" s="25" t="str">
        <f>IFERROR(VLOOKUP($B83,'Ontario Singles'!A:B,2,FALSE),"")</f>
        <v/>
      </c>
      <c r="N83" s="10"/>
      <c r="O83" s="19">
        <f>IFERROR(LARGE(D83:M83,1),0)+IFERROR(LARGE(D83:M83,2),0)+IFERROR(LARGE(D83:M83,3),0)+IFERROR(LARGE(D83:M83,4),0)</f>
        <v>36</v>
      </c>
      <c r="P83" s="20">
        <f>SUM(D83:M83)/C83</f>
        <v>36</v>
      </c>
      <c r="R83" s="2"/>
      <c r="S83" s="2"/>
      <c r="T83" s="22"/>
      <c r="U83" s="2"/>
      <c r="V83" s="10"/>
      <c r="W83" s="10"/>
    </row>
    <row r="84" spans="1:23" s="8" customFormat="1" ht="18.75" customHeight="1" thickBot="1">
      <c r="A84" s="15">
        <f>RANK(O84,O$5:O$197)</f>
        <v>79</v>
      </c>
      <c r="B84" s="23" t="s">
        <v>508</v>
      </c>
      <c r="C84" s="17">
        <f>COUNT(D84:M84)</f>
        <v>1</v>
      </c>
      <c r="D84" s="116" t="str">
        <f>IFERROR(VLOOKUP($B84,'NCA Players Doubles'!$Z:$AB,3,FALSE),IFERROR(VLOOKUP($B84,'NCA Players Doubles'!$AA:$AB,2,FALSE),""))</f>
        <v/>
      </c>
      <c r="E84" s="4" t="str">
        <f>IFERROR(VLOOKUP($B84,'NCA Players Singles'!$V:$W,2,FALSE),"")</f>
        <v/>
      </c>
      <c r="F84" s="26" t="str">
        <f>IFERROR(VLOOKUP($B84,Belleville!$U:$V,2,FALSE),"")</f>
        <v/>
      </c>
      <c r="G84" s="187" t="str">
        <f>IFERROR(VLOOKUP($B84,'Owen Sound'!$Z:$AA,2,FALSE),"")</f>
        <v/>
      </c>
      <c r="H84" s="187" t="str">
        <f>IFERROR(VLOOKUP($B84,ODCC!O:P,2,FALSE),"")</f>
        <v/>
      </c>
      <c r="I84" s="187" t="str">
        <f>IFERROR(VLOOKUP($B84,Elmira!S:T,2,FALSE),"")</f>
        <v/>
      </c>
      <c r="J84" s="187" t="str">
        <f>IFERROR(VLOOKUP($B84,Chatham!K:L,2,FALSE),"")</f>
        <v/>
      </c>
      <c r="K84" s="187" t="str">
        <f>IFERROR(VLOOKUP($B84,London!AM:AN,2,FALSE),"")</f>
        <v/>
      </c>
      <c r="L84" s="187">
        <f>IFERROR(VLOOKUP($B84,'US Open'!A:B,2,FALSE),"")</f>
        <v>36</v>
      </c>
      <c r="M84" s="25" t="str">
        <f>IFERROR(VLOOKUP($B84,'Ontario Singles'!A:B,2,FALSE),"")</f>
        <v/>
      </c>
      <c r="N84" s="30"/>
      <c r="O84" s="19">
        <f>IFERROR(LARGE(D84:M84,1),0)+IFERROR(LARGE(D84:M84,2),0)+IFERROR(LARGE(D84:M84,3),0)+IFERROR(LARGE(D84:M84,4),0)</f>
        <v>36</v>
      </c>
      <c r="P84" s="20">
        <f>SUM(D84:M84)/C84</f>
        <v>36</v>
      </c>
      <c r="S84" s="2"/>
      <c r="T84" s="36"/>
      <c r="U84" s="5"/>
    </row>
    <row r="85" spans="1:23" s="8" customFormat="1" ht="18.75" customHeight="1" thickBot="1">
      <c r="A85" s="15">
        <f>RANK(O85,O$5:O$197)</f>
        <v>79</v>
      </c>
      <c r="B85" s="23" t="s">
        <v>481</v>
      </c>
      <c r="C85" s="17">
        <f>COUNT(D85:M85)</f>
        <v>1</v>
      </c>
      <c r="D85" s="116" t="str">
        <f>IFERROR(VLOOKUP($B85,'NCA Players Doubles'!$Z:$AB,3,FALSE),IFERROR(VLOOKUP($B85,'NCA Players Doubles'!$AA:$AB,2,FALSE),""))</f>
        <v/>
      </c>
      <c r="E85" s="4" t="str">
        <f>IFERROR(VLOOKUP($B85,'NCA Players Singles'!$V:$W,2,FALSE),"")</f>
        <v/>
      </c>
      <c r="F85" s="26" t="str">
        <f>IFERROR(VLOOKUP($B85,Belleville!$U:$V,2,FALSE),"")</f>
        <v/>
      </c>
      <c r="G85" s="187" t="str">
        <f>IFERROR(VLOOKUP($B85,'Owen Sound'!$Z:$AA,2,FALSE),"")</f>
        <v/>
      </c>
      <c r="H85" s="187" t="str">
        <f>IFERROR(VLOOKUP($B85,ODCC!O:P,2,FALSE),"")</f>
        <v/>
      </c>
      <c r="I85" s="187" t="str">
        <f>IFERROR(VLOOKUP($B85,Elmira!S:T,2,FALSE),"")</f>
        <v/>
      </c>
      <c r="J85" s="187" t="str">
        <f>IFERROR(VLOOKUP($B85,Chatham!K:L,2,FALSE),"")</f>
        <v/>
      </c>
      <c r="K85" s="187" t="str">
        <f>IFERROR(VLOOKUP($B85,London!AM:AN,2,FALSE),"")</f>
        <v/>
      </c>
      <c r="L85" s="187">
        <f>IFERROR(VLOOKUP($B85,'US Open'!A:B,2,FALSE),"")</f>
        <v>36</v>
      </c>
      <c r="M85" s="25" t="str">
        <f>IFERROR(VLOOKUP($B85,'Ontario Singles'!A:B,2,FALSE),"")</f>
        <v/>
      </c>
      <c r="N85" s="30"/>
      <c r="O85" s="19">
        <f>IFERROR(LARGE(D85:M85,1),0)+IFERROR(LARGE(D85:M85,2),0)+IFERROR(LARGE(D85:M85,3),0)+IFERROR(LARGE(D85:M85,4),0)</f>
        <v>36</v>
      </c>
      <c r="P85" s="20">
        <f>SUM(D85:M85)/C85</f>
        <v>36</v>
      </c>
    </row>
    <row r="86" spans="1:23" s="8" customFormat="1" ht="18.75" customHeight="1" thickBot="1">
      <c r="A86" s="15">
        <f>RANK(O86,O$5:O$197)</f>
        <v>82</v>
      </c>
      <c r="B86" s="23" t="s">
        <v>509</v>
      </c>
      <c r="C86" s="17">
        <f>COUNT(D86:M86)</f>
        <v>1</v>
      </c>
      <c r="D86" s="116" t="str">
        <f>IFERROR(VLOOKUP($B86,'NCA Players Doubles'!$Z:$AB,3,FALSE),IFERROR(VLOOKUP($B86,'NCA Players Doubles'!$AA:$AB,2,FALSE),""))</f>
        <v/>
      </c>
      <c r="E86" s="4" t="str">
        <f>IFERROR(VLOOKUP($B86,'NCA Players Singles'!$V:$W,2,FALSE),"")</f>
        <v/>
      </c>
      <c r="F86" s="26" t="str">
        <f>IFERROR(VLOOKUP($B86,Belleville!$U:$V,2,FALSE),"")</f>
        <v/>
      </c>
      <c r="G86" s="187" t="str">
        <f>IFERROR(VLOOKUP($B86,'Owen Sound'!$Z:$AA,2,FALSE),"")</f>
        <v/>
      </c>
      <c r="H86" s="187" t="str">
        <f>IFERROR(VLOOKUP($B86,ODCC!O:P,2,FALSE),"")</f>
        <v/>
      </c>
      <c r="I86" s="187" t="str">
        <f>IFERROR(VLOOKUP($B86,Elmira!S:T,2,FALSE),"")</f>
        <v/>
      </c>
      <c r="J86" s="187" t="str">
        <f>IFERROR(VLOOKUP($B86,Chatham!K:L,2,FALSE),"")</f>
        <v/>
      </c>
      <c r="K86" s="187" t="str">
        <f>IFERROR(VLOOKUP($B86,London!AM:AN,2,FALSE),"")</f>
        <v/>
      </c>
      <c r="L86" s="187">
        <f>IFERROR(VLOOKUP($B86,'US Open'!A:B,2,FALSE),"")</f>
        <v>35</v>
      </c>
      <c r="M86" s="25" t="str">
        <f>IFERROR(VLOOKUP($B86,'Ontario Singles'!A:B,2,FALSE),"")</f>
        <v/>
      </c>
      <c r="N86" s="30"/>
      <c r="O86" s="19">
        <f>IFERROR(LARGE(D86:M86,1),0)+IFERROR(LARGE(D86:M86,2),0)+IFERROR(LARGE(D86:M86,3),0)+IFERROR(LARGE(D86:M86,4),0)</f>
        <v>35</v>
      </c>
      <c r="P86" s="20">
        <f>SUM(D86:M86)/C86</f>
        <v>35</v>
      </c>
      <c r="S86" s="2"/>
      <c r="T86" s="36"/>
      <c r="U86" s="5"/>
    </row>
    <row r="87" spans="1:23" s="8" customFormat="1" ht="18.75" customHeight="1" thickBot="1">
      <c r="A87" s="15">
        <f>RANK(O87,O$5:O$197)</f>
        <v>82</v>
      </c>
      <c r="B87" s="23" t="s">
        <v>482</v>
      </c>
      <c r="C87" s="17">
        <f>COUNT(D87:M87)</f>
        <v>1</v>
      </c>
      <c r="D87" s="116" t="str">
        <f>IFERROR(VLOOKUP($B87,'NCA Players Doubles'!$Z:$AB,3,FALSE),IFERROR(VLOOKUP($B87,'NCA Players Doubles'!$AA:$AB,2,FALSE),""))</f>
        <v/>
      </c>
      <c r="E87" s="4" t="str">
        <f>IFERROR(VLOOKUP($B87,'NCA Players Singles'!$V:$W,2,FALSE),"")</f>
        <v/>
      </c>
      <c r="F87" s="31" t="str">
        <f>IFERROR(VLOOKUP($B87,Belleville!$U:$V,2,FALSE),"")</f>
        <v/>
      </c>
      <c r="G87" s="187" t="str">
        <f>IFERROR(VLOOKUP($B87,'Owen Sound'!$Z:$AA,2,FALSE),"")</f>
        <v/>
      </c>
      <c r="H87" s="187" t="str">
        <f>IFERROR(VLOOKUP($B87,ODCC!O:P,2,FALSE),"")</f>
        <v/>
      </c>
      <c r="I87" s="187" t="str">
        <f>IFERROR(VLOOKUP($B87,Elmira!S:T,2,FALSE),"")</f>
        <v/>
      </c>
      <c r="J87" s="187" t="str">
        <f>IFERROR(VLOOKUP($B87,Chatham!K:L,2,FALSE),"")</f>
        <v/>
      </c>
      <c r="K87" s="187" t="str">
        <f>IFERROR(VLOOKUP($B87,London!AM:AN,2,FALSE),"")</f>
        <v/>
      </c>
      <c r="L87" s="187">
        <f>IFERROR(VLOOKUP($B87,'US Open'!A:B,2,FALSE),"")</f>
        <v>35</v>
      </c>
      <c r="M87" s="25" t="str">
        <f>IFERROR(VLOOKUP($B87,'Ontario Singles'!A:B,2,FALSE),"")</f>
        <v/>
      </c>
      <c r="N87" s="10"/>
      <c r="O87" s="19">
        <f>IFERROR(LARGE(D87:M87,1),0)+IFERROR(LARGE(D87:M87,2),0)+IFERROR(LARGE(D87:M87,3),0)+IFERROR(LARGE(D87:M87,4),0)</f>
        <v>35</v>
      </c>
      <c r="P87" s="20">
        <f>SUM(D87:M87)/C87</f>
        <v>35</v>
      </c>
    </row>
    <row r="88" spans="1:23" s="8" customFormat="1" ht="18.75" customHeight="1" thickBot="1">
      <c r="A88" s="15">
        <f>RANK(O88,O$5:O$197)</f>
        <v>84</v>
      </c>
      <c r="B88" s="23" t="s">
        <v>202</v>
      </c>
      <c r="C88" s="17">
        <f>COUNT(D88:M88)</f>
        <v>1</v>
      </c>
      <c r="D88" s="116" t="str">
        <f>IFERROR(VLOOKUP($B88,'NCA Players Doubles'!$Z:$AB,3,FALSE),IFERROR(VLOOKUP($B88,'NCA Players Doubles'!$AA:$AB,2,FALSE),""))</f>
        <v/>
      </c>
      <c r="E88" s="4" t="str">
        <f>IFERROR(VLOOKUP($B88,'NCA Players Singles'!$V:$W,2,FALSE),"")</f>
        <v/>
      </c>
      <c r="F88" s="33">
        <f>IFERROR(VLOOKUP($B88,Belleville!$U:$V,2,FALSE),"")</f>
        <v>34</v>
      </c>
      <c r="G88" s="187" t="str">
        <f>IFERROR(VLOOKUP($B88,'Owen Sound'!$Z:$AA,2,FALSE),"")</f>
        <v/>
      </c>
      <c r="H88" s="187" t="str">
        <f>IFERROR(VLOOKUP($B88,ODCC!O:P,2,FALSE),"")</f>
        <v/>
      </c>
      <c r="I88" s="187" t="str">
        <f>IFERROR(VLOOKUP($B88,Elmira!S:T,2,FALSE),"")</f>
        <v/>
      </c>
      <c r="J88" s="187" t="str">
        <f>IFERROR(VLOOKUP($B88,Chatham!K:L,2,FALSE),"")</f>
        <v/>
      </c>
      <c r="K88" s="187" t="str">
        <f>IFERROR(VLOOKUP($B88,London!AM:AN,2,FALSE),"")</f>
        <v/>
      </c>
      <c r="L88" s="187" t="str">
        <f>IFERROR(VLOOKUP($B88,'US Open'!A:B,2,FALSE),"")</f>
        <v/>
      </c>
      <c r="M88" s="25" t="str">
        <f>IFERROR(VLOOKUP($B88,'Ontario Singles'!A:B,2,FALSE),"")</f>
        <v/>
      </c>
      <c r="N88" s="10"/>
      <c r="O88" s="19">
        <f>IFERROR(LARGE(D88:M88,1),0)+IFERROR(LARGE(D88:M88,2),0)+IFERROR(LARGE(D88:M88,3),0)+IFERROR(LARGE(D88:M88,4),0)</f>
        <v>34</v>
      </c>
      <c r="P88" s="20">
        <f>SUM(D88:M88)/C88</f>
        <v>34</v>
      </c>
      <c r="R88" s="2"/>
      <c r="S88" s="2"/>
      <c r="T88" s="22"/>
      <c r="U88" s="2"/>
      <c r="V88" s="10"/>
      <c r="W88" s="10"/>
    </row>
    <row r="89" spans="1:23" s="8" customFormat="1" ht="18.75" customHeight="1" thickBot="1">
      <c r="A89" s="15">
        <f>RANK(O89,O$5:O$197)</f>
        <v>84</v>
      </c>
      <c r="B89" s="23" t="s">
        <v>312</v>
      </c>
      <c r="C89" s="17">
        <f>COUNT(D89:M89)</f>
        <v>1</v>
      </c>
      <c r="D89" s="116" t="str">
        <f>IFERROR(VLOOKUP($B89,'NCA Players Doubles'!$Z:$AB,3,FALSE),IFERROR(VLOOKUP($B89,'NCA Players Doubles'!$AA:$AB,2,FALSE),""))</f>
        <v/>
      </c>
      <c r="E89" s="4" t="str">
        <f>IFERROR(VLOOKUP($B89,'NCA Players Singles'!$V:$W,2,FALSE),"")</f>
        <v/>
      </c>
      <c r="F89" s="26" t="str">
        <f>IFERROR(VLOOKUP($B89,Belleville!$U:$V,2,FALSE),"")</f>
        <v/>
      </c>
      <c r="G89" s="187" t="str">
        <f>IFERROR(VLOOKUP($B89,'Owen Sound'!$Z:$AA,2,FALSE),"")</f>
        <v/>
      </c>
      <c r="H89" s="187">
        <f>IFERROR(VLOOKUP($B89,ODCC!O:P,2,FALSE),"")</f>
        <v>34</v>
      </c>
      <c r="I89" s="187" t="str">
        <f>IFERROR(VLOOKUP($B89,Elmira!S:T,2,FALSE),"")</f>
        <v/>
      </c>
      <c r="J89" s="187" t="str">
        <f>IFERROR(VLOOKUP($B89,Chatham!K:L,2,FALSE),"")</f>
        <v/>
      </c>
      <c r="K89" s="187" t="str">
        <f>IFERROR(VLOOKUP($B89,London!AM:AN,2,FALSE),"")</f>
        <v/>
      </c>
      <c r="L89" s="187" t="str">
        <f>IFERROR(VLOOKUP($B89,'US Open'!A:B,2,FALSE),"")</f>
        <v/>
      </c>
      <c r="M89" s="25" t="str">
        <f>IFERROR(VLOOKUP($B89,'Ontario Singles'!A:B,2,FALSE),"")</f>
        <v/>
      </c>
      <c r="N89" s="10"/>
      <c r="O89" s="19">
        <f>IFERROR(LARGE(D89:M89,1),0)+IFERROR(LARGE(D89:M89,2),0)+IFERROR(LARGE(D89:M89,3),0)+IFERROR(LARGE(D89:M89,4),0)</f>
        <v>34</v>
      </c>
      <c r="P89" s="20">
        <f>SUM(D89:M89)/C89</f>
        <v>34</v>
      </c>
      <c r="S89" s="2"/>
      <c r="T89" s="36"/>
      <c r="U89" s="5"/>
    </row>
    <row r="90" spans="1:23" s="8" customFormat="1" ht="18.75" customHeight="1" thickBot="1">
      <c r="A90" s="15">
        <f>RANK(O90,O$5:O$197)</f>
        <v>84</v>
      </c>
      <c r="B90" s="23" t="s">
        <v>510</v>
      </c>
      <c r="C90" s="17">
        <f>COUNT(D90:M90)</f>
        <v>1</v>
      </c>
      <c r="D90" s="116" t="str">
        <f>IFERROR(VLOOKUP($B90,'NCA Players Doubles'!$Z:$AB,3,FALSE),IFERROR(VLOOKUP($B90,'NCA Players Doubles'!$AA:$AB,2,FALSE),""))</f>
        <v/>
      </c>
      <c r="E90" s="4" t="str">
        <f>IFERROR(VLOOKUP($B90,'NCA Players Singles'!$V:$W,2,FALSE),"")</f>
        <v/>
      </c>
      <c r="F90" s="33" t="str">
        <f>IFERROR(VLOOKUP($B90,Belleville!$U:$V,2,FALSE),"")</f>
        <v/>
      </c>
      <c r="G90" s="187" t="str">
        <f>IFERROR(VLOOKUP($B90,'Owen Sound'!$Z:$AA,2,FALSE),"")</f>
        <v/>
      </c>
      <c r="H90" s="187" t="str">
        <f>IFERROR(VLOOKUP($B90,ODCC!O:P,2,FALSE),"")</f>
        <v/>
      </c>
      <c r="I90" s="187" t="str">
        <f>IFERROR(VLOOKUP($B90,Elmira!S:T,2,FALSE),"")</f>
        <v/>
      </c>
      <c r="J90" s="187" t="str">
        <f>IFERROR(VLOOKUP($B90,Chatham!K:L,2,FALSE),"")</f>
        <v/>
      </c>
      <c r="K90" s="187" t="str">
        <f>IFERROR(VLOOKUP($B90,London!AM:AN,2,FALSE),"")</f>
        <v/>
      </c>
      <c r="L90" s="187">
        <f>IFERROR(VLOOKUP($B90,'US Open'!A:B,2,FALSE),"")</f>
        <v>34</v>
      </c>
      <c r="M90" s="25" t="str">
        <f>IFERROR(VLOOKUP($B90,'Ontario Singles'!A:B,2,FALSE),"")</f>
        <v/>
      </c>
      <c r="N90" s="28"/>
      <c r="O90" s="19">
        <f>IFERROR(LARGE(D90:M90,1),0)+IFERROR(LARGE(D90:M90,2),0)+IFERROR(LARGE(D90:M90,3),0)+IFERROR(LARGE(D90:M90,4),0)</f>
        <v>34</v>
      </c>
      <c r="P90" s="20">
        <f>SUM(D90:M90)/C90</f>
        <v>34</v>
      </c>
      <c r="S90" s="2"/>
      <c r="T90" s="36"/>
      <c r="U90" s="5"/>
    </row>
    <row r="91" spans="1:23" s="8" customFormat="1" ht="18.75" customHeight="1" thickBot="1">
      <c r="A91" s="15">
        <f>RANK(O91,O$5:O$197)</f>
        <v>84</v>
      </c>
      <c r="B91" s="23" t="s">
        <v>483</v>
      </c>
      <c r="C91" s="17">
        <f>COUNT(D91:M91)</f>
        <v>1</v>
      </c>
      <c r="D91" s="116" t="str">
        <f>IFERROR(VLOOKUP($B91,'NCA Players Doubles'!$Z:$AB,3,FALSE),IFERROR(VLOOKUP($B91,'NCA Players Doubles'!$AA:$AB,2,FALSE),""))</f>
        <v/>
      </c>
      <c r="E91" s="4" t="str">
        <f>IFERROR(VLOOKUP($B91,'NCA Players Singles'!$V:$W,2,FALSE),"")</f>
        <v/>
      </c>
      <c r="F91" s="24" t="str">
        <f>IFERROR(VLOOKUP($B91,Belleville!$U:$V,2,FALSE),"")</f>
        <v/>
      </c>
      <c r="G91" s="187" t="str">
        <f>IFERROR(VLOOKUP($B91,'Owen Sound'!$Z:$AA,2,FALSE),"")</f>
        <v/>
      </c>
      <c r="H91" s="187" t="str">
        <f>IFERROR(VLOOKUP($B91,ODCC!O:P,2,FALSE),"")</f>
        <v/>
      </c>
      <c r="I91" s="187" t="str">
        <f>IFERROR(VLOOKUP($B91,Elmira!S:T,2,FALSE),"")</f>
        <v/>
      </c>
      <c r="J91" s="187" t="str">
        <f>IFERROR(VLOOKUP($B91,Chatham!K:L,2,FALSE),"")</f>
        <v/>
      </c>
      <c r="K91" s="187" t="str">
        <f>IFERROR(VLOOKUP($B91,London!AM:AN,2,FALSE),"")</f>
        <v/>
      </c>
      <c r="L91" s="187">
        <f>IFERROR(VLOOKUP($B91,'US Open'!A:B,2,FALSE),"")</f>
        <v>34</v>
      </c>
      <c r="M91" s="25" t="str">
        <f>IFERROR(VLOOKUP($B91,'Ontario Singles'!A:B,2,FALSE),"")</f>
        <v/>
      </c>
      <c r="N91" s="30"/>
      <c r="O91" s="19">
        <f>IFERROR(LARGE(D91:M91,1),0)+IFERROR(LARGE(D91:M91,2),0)+IFERROR(LARGE(D91:M91,3),0)+IFERROR(LARGE(D91:M91,4),0)</f>
        <v>34</v>
      </c>
      <c r="P91" s="20">
        <f>SUM(D91:M91)/C91</f>
        <v>34</v>
      </c>
    </row>
    <row r="92" spans="1:23" s="8" customFormat="1" ht="18.75" customHeight="1" thickBot="1">
      <c r="A92" s="15">
        <f>RANK(O92,O$5:O$197)</f>
        <v>88</v>
      </c>
      <c r="B92" s="23" t="s">
        <v>511</v>
      </c>
      <c r="C92" s="17">
        <f>COUNT(D92:M92)</f>
        <v>1</v>
      </c>
      <c r="D92" s="116" t="str">
        <f>IFERROR(VLOOKUP($B92,'NCA Players Doubles'!$Z:$AB,3,FALSE),IFERROR(VLOOKUP($B92,'NCA Players Doubles'!$AA:$AB,2,FALSE),""))</f>
        <v/>
      </c>
      <c r="E92" s="4" t="str">
        <f>IFERROR(VLOOKUP($B92,'NCA Players Singles'!$V:$W,2,FALSE),"")</f>
        <v/>
      </c>
      <c r="F92" s="26" t="str">
        <f>IFERROR(VLOOKUP($B92,Belleville!$U:$V,2,FALSE),"")</f>
        <v/>
      </c>
      <c r="G92" s="187" t="str">
        <f>IFERROR(VLOOKUP($B92,'Owen Sound'!$Z:$AA,2,FALSE),"")</f>
        <v/>
      </c>
      <c r="H92" s="187" t="str">
        <f>IFERROR(VLOOKUP($B92,ODCC!O:P,2,FALSE),"")</f>
        <v/>
      </c>
      <c r="I92" s="187" t="str">
        <f>IFERROR(VLOOKUP($B92,Elmira!S:T,2,FALSE),"")</f>
        <v/>
      </c>
      <c r="J92" s="187" t="str">
        <f>IFERROR(VLOOKUP($B92,Chatham!K:L,2,FALSE),"")</f>
        <v/>
      </c>
      <c r="K92" s="187" t="str">
        <f>IFERROR(VLOOKUP($B92,London!AM:AN,2,FALSE),"")</f>
        <v/>
      </c>
      <c r="L92" s="187">
        <f>IFERROR(VLOOKUP($B92,'US Open'!A:B,2,FALSE),"")</f>
        <v>33</v>
      </c>
      <c r="M92" s="25" t="str">
        <f>IFERROR(VLOOKUP($B92,'Ontario Singles'!A:B,2,FALSE),"")</f>
        <v/>
      </c>
      <c r="N92" s="30"/>
      <c r="O92" s="19">
        <f>IFERROR(LARGE(D92:M92,1),0)+IFERROR(LARGE(D92:M92,2),0)+IFERROR(LARGE(D92:M92,3),0)+IFERROR(LARGE(D92:M92,4),0)</f>
        <v>33</v>
      </c>
      <c r="P92" s="20">
        <f>SUM(D92:M92)/C92</f>
        <v>33</v>
      </c>
      <c r="S92" s="2"/>
      <c r="T92" s="36"/>
      <c r="U92" s="5"/>
    </row>
    <row r="93" spans="1:23" s="8" customFormat="1" ht="18.75" customHeight="1" thickBot="1">
      <c r="A93" s="15">
        <f>RANK(O93,O$5:O$197)</f>
        <v>88</v>
      </c>
      <c r="B93" s="23" t="s">
        <v>484</v>
      </c>
      <c r="C93" s="17">
        <f>COUNT(D93:M93)</f>
        <v>1</v>
      </c>
      <c r="D93" s="116" t="str">
        <f>IFERROR(VLOOKUP($B93,'NCA Players Doubles'!$Z:$AB,3,FALSE),IFERROR(VLOOKUP($B93,'NCA Players Doubles'!$AA:$AB,2,FALSE),""))</f>
        <v/>
      </c>
      <c r="E93" s="4" t="str">
        <f>IFERROR(VLOOKUP($B93,'NCA Players Singles'!$V:$W,2,FALSE),"")</f>
        <v/>
      </c>
      <c r="F93" s="26" t="str">
        <f>IFERROR(VLOOKUP($B93,Belleville!$U:$V,2,FALSE),"")</f>
        <v/>
      </c>
      <c r="G93" s="187" t="str">
        <f>IFERROR(VLOOKUP($B93,'Owen Sound'!$Z:$AA,2,FALSE),"")</f>
        <v/>
      </c>
      <c r="H93" s="187" t="str">
        <f>IFERROR(VLOOKUP($B93,ODCC!O:P,2,FALSE),"")</f>
        <v/>
      </c>
      <c r="I93" s="187" t="str">
        <f>IFERROR(VLOOKUP($B93,Elmira!S:T,2,FALSE),"")</f>
        <v/>
      </c>
      <c r="J93" s="187" t="str">
        <f>IFERROR(VLOOKUP($B93,Chatham!K:L,2,FALSE),"")</f>
        <v/>
      </c>
      <c r="K93" s="187" t="str">
        <f>IFERROR(VLOOKUP($B93,London!AM:AN,2,FALSE),"")</f>
        <v/>
      </c>
      <c r="L93" s="187">
        <f>IFERROR(VLOOKUP($B93,'US Open'!A:B,2,FALSE),"")</f>
        <v>33</v>
      </c>
      <c r="M93" s="25" t="str">
        <f>IFERROR(VLOOKUP($B93,'Ontario Singles'!A:B,2,FALSE),"")</f>
        <v/>
      </c>
      <c r="N93" s="30"/>
      <c r="O93" s="19">
        <f>IFERROR(LARGE(D93:M93,1),0)+IFERROR(LARGE(D93:M93,2),0)+IFERROR(LARGE(D93:M93,3),0)+IFERROR(LARGE(D93:M93,4),0)</f>
        <v>33</v>
      </c>
      <c r="P93" s="20">
        <f>SUM(D93:M93)/C93</f>
        <v>33</v>
      </c>
    </row>
    <row r="94" spans="1:23" s="8" customFormat="1" ht="18.75" customHeight="1" thickBot="1">
      <c r="A94" s="15">
        <f>RANK(O94,O$5:O$197)</f>
        <v>90</v>
      </c>
      <c r="B94" s="23" t="s">
        <v>512</v>
      </c>
      <c r="C94" s="17">
        <f>COUNT(D94:M94)</f>
        <v>1</v>
      </c>
      <c r="D94" s="116" t="str">
        <f>IFERROR(VLOOKUP($B94,'NCA Players Doubles'!$Z:$AB,3,FALSE),IFERROR(VLOOKUP($B94,'NCA Players Doubles'!$AA:$AB,2,FALSE),""))</f>
        <v/>
      </c>
      <c r="E94" s="4" t="str">
        <f>IFERROR(VLOOKUP($B94,'NCA Players Singles'!$V:$W,2,FALSE),"")</f>
        <v/>
      </c>
      <c r="F94" s="18" t="str">
        <f>IFERROR(VLOOKUP($B94,Belleville!$U:$V,2,FALSE),"")</f>
        <v/>
      </c>
      <c r="G94" s="187" t="str">
        <f>IFERROR(VLOOKUP($B94,'Owen Sound'!$Z:$AA,2,FALSE),"")</f>
        <v/>
      </c>
      <c r="H94" s="187" t="str">
        <f>IFERROR(VLOOKUP($B94,ODCC!O:P,2,FALSE),"")</f>
        <v/>
      </c>
      <c r="I94" s="187" t="str">
        <f>IFERROR(VLOOKUP($B94,Elmira!S:T,2,FALSE),"")</f>
        <v/>
      </c>
      <c r="J94" s="187" t="str">
        <f>IFERROR(VLOOKUP($B94,Chatham!K:L,2,FALSE),"")</f>
        <v/>
      </c>
      <c r="K94" s="187" t="str">
        <f>IFERROR(VLOOKUP($B94,London!AM:AN,2,FALSE),"")</f>
        <v/>
      </c>
      <c r="L94" s="187">
        <f>IFERROR(VLOOKUP($B94,'US Open'!A:B,2,FALSE),"")</f>
        <v>32</v>
      </c>
      <c r="M94" s="25" t="str">
        <f>IFERROR(VLOOKUP($B94,'Ontario Singles'!A:B,2,FALSE),"")</f>
        <v/>
      </c>
      <c r="N94" s="10"/>
      <c r="O94" s="19">
        <f>IFERROR(LARGE(D94:M94,1),0)+IFERROR(LARGE(D94:M94,2),0)+IFERROR(LARGE(D94:M94,3),0)+IFERROR(LARGE(D94:M94,4),0)</f>
        <v>32</v>
      </c>
      <c r="P94" s="20">
        <f>SUM(D94:M94)/C94</f>
        <v>32</v>
      </c>
      <c r="S94" s="2"/>
      <c r="T94" s="36"/>
      <c r="U94" s="5"/>
    </row>
    <row r="95" spans="1:23" s="8" customFormat="1" ht="18.75" customHeight="1" thickBot="1">
      <c r="A95" s="15">
        <f>RANK(O95,O$5:O$197)</f>
        <v>91</v>
      </c>
      <c r="B95" s="23" t="s">
        <v>282</v>
      </c>
      <c r="C95" s="17">
        <f>COUNT(D95:M95)</f>
        <v>1</v>
      </c>
      <c r="D95" s="116" t="str">
        <f>IFERROR(VLOOKUP($B95,'NCA Players Doubles'!$Z:$AB,3,FALSE),IFERROR(VLOOKUP($B95,'NCA Players Doubles'!$AA:$AB,2,FALSE),""))</f>
        <v/>
      </c>
      <c r="E95" s="4" t="str">
        <f>IFERROR(VLOOKUP($B95,'NCA Players Singles'!$V:$W,2,FALSE),"")</f>
        <v/>
      </c>
      <c r="F95" s="26" t="str">
        <f>IFERROR(VLOOKUP($B95,Belleville!$U:$V,2,FALSE),"")</f>
        <v/>
      </c>
      <c r="G95" s="187" t="str">
        <f>IFERROR(VLOOKUP($B95,'Owen Sound'!$Z:$AA,2,FALSE),"")</f>
        <v/>
      </c>
      <c r="H95" s="187">
        <f>IFERROR(VLOOKUP($B95,ODCC!O:P,2,FALSE),"")</f>
        <v>31</v>
      </c>
      <c r="I95" s="187" t="str">
        <f>IFERROR(VLOOKUP($B95,Elmira!S:T,2,FALSE),"")</f>
        <v/>
      </c>
      <c r="J95" s="187" t="str">
        <f>IFERROR(VLOOKUP($B95,Chatham!K:L,2,FALSE),"")</f>
        <v/>
      </c>
      <c r="K95" s="187" t="str">
        <f>IFERROR(VLOOKUP($B95,London!AM:AN,2,FALSE),"")</f>
        <v/>
      </c>
      <c r="L95" s="187" t="str">
        <f>IFERROR(VLOOKUP($B95,'US Open'!A:B,2,FALSE),"")</f>
        <v/>
      </c>
      <c r="M95" s="25" t="str">
        <f>IFERROR(VLOOKUP($B95,'Ontario Singles'!A:B,2,FALSE),"")</f>
        <v/>
      </c>
      <c r="N95" s="10"/>
      <c r="O95" s="19">
        <f>IFERROR(LARGE(D95:M95,1),0)+IFERROR(LARGE(D95:M95,2),0)+IFERROR(LARGE(D95:M95,3),0)+IFERROR(LARGE(D95:M95,4),0)</f>
        <v>31</v>
      </c>
      <c r="P95" s="20">
        <f>SUM(D95:M95)/C95</f>
        <v>31</v>
      </c>
      <c r="S95" s="2"/>
      <c r="T95" s="36"/>
      <c r="U95" s="5"/>
    </row>
    <row r="96" spans="1:23" s="8" customFormat="1" ht="24" thickBot="1">
      <c r="A96" s="15">
        <f>RANK(O96,O$5:O$197)</f>
        <v>91</v>
      </c>
      <c r="B96" s="23" t="s">
        <v>283</v>
      </c>
      <c r="C96" s="17">
        <f>COUNT(D96:M96)</f>
        <v>1</v>
      </c>
      <c r="D96" s="116" t="str">
        <f>IFERROR(VLOOKUP($B96,'NCA Players Doubles'!$Z:$AB,3,FALSE),IFERROR(VLOOKUP($B96,'NCA Players Doubles'!$AA:$AB,2,FALSE),""))</f>
        <v/>
      </c>
      <c r="E96" s="4" t="str">
        <f>IFERROR(VLOOKUP($B96,'NCA Players Singles'!$V:$W,2,FALSE),"")</f>
        <v/>
      </c>
      <c r="F96" s="24" t="str">
        <f>IFERROR(VLOOKUP($B96,Belleville!$U:$V,2,FALSE),"")</f>
        <v/>
      </c>
      <c r="G96" s="187" t="str">
        <f>IFERROR(VLOOKUP($B96,'Owen Sound'!$Z:$AA,2,FALSE),"")</f>
        <v/>
      </c>
      <c r="H96" s="187">
        <f>IFERROR(VLOOKUP($B96,ODCC!O:P,2,FALSE),"")</f>
        <v>31</v>
      </c>
      <c r="I96" s="187" t="str">
        <f>IFERROR(VLOOKUP($B96,Elmira!S:T,2,FALSE),"")</f>
        <v/>
      </c>
      <c r="J96" s="187" t="str">
        <f>IFERROR(VLOOKUP($B96,Chatham!K:L,2,FALSE),"")</f>
        <v/>
      </c>
      <c r="K96" s="187" t="str">
        <f>IFERROR(VLOOKUP($B96,London!AM:AN,2,FALSE),"")</f>
        <v/>
      </c>
      <c r="L96" s="187" t="str">
        <f>IFERROR(VLOOKUP($B96,'US Open'!A:B,2,FALSE),"")</f>
        <v/>
      </c>
      <c r="M96" s="25" t="str">
        <f>IFERROR(VLOOKUP($B96,'Ontario Singles'!A:B,2,FALSE),"")</f>
        <v/>
      </c>
      <c r="N96" s="10"/>
      <c r="O96" s="19">
        <f>IFERROR(LARGE(D96:M96,1),0)+IFERROR(LARGE(D96:M96,2),0)+IFERROR(LARGE(D96:M96,3),0)+IFERROR(LARGE(D96:M96,4),0)</f>
        <v>31</v>
      </c>
      <c r="P96" s="20">
        <f>SUM(D96:M96)/C96</f>
        <v>31</v>
      </c>
      <c r="S96" s="2"/>
      <c r="T96" s="36"/>
      <c r="U96" s="5"/>
    </row>
    <row r="97" spans="1:23" s="8" customFormat="1" ht="24" thickBot="1">
      <c r="A97" s="15">
        <f>RANK(O97,O$5:O$197)</f>
        <v>91</v>
      </c>
      <c r="B97" s="23" t="s">
        <v>513</v>
      </c>
      <c r="C97" s="17">
        <f>COUNT(D97:M97)</f>
        <v>1</v>
      </c>
      <c r="D97" s="116" t="str">
        <f>IFERROR(VLOOKUP($B97,'NCA Players Doubles'!$Z:$AB,3,FALSE),IFERROR(VLOOKUP($B97,'NCA Players Doubles'!$AA:$AB,2,FALSE),""))</f>
        <v/>
      </c>
      <c r="E97" s="4" t="str">
        <f>IFERROR(VLOOKUP($B97,'NCA Players Singles'!$V:$W,2,FALSE),"")</f>
        <v/>
      </c>
      <c r="F97" s="33" t="str">
        <f>IFERROR(VLOOKUP($B97,Belleville!$U:$V,2,FALSE),"")</f>
        <v/>
      </c>
      <c r="G97" s="187" t="str">
        <f>IFERROR(VLOOKUP($B97,'Owen Sound'!$Z:$AA,2,FALSE),"")</f>
        <v/>
      </c>
      <c r="H97" s="187" t="str">
        <f>IFERROR(VLOOKUP($B97,ODCC!O:P,2,FALSE),"")</f>
        <v/>
      </c>
      <c r="I97" s="187" t="str">
        <f>IFERROR(VLOOKUP($B97,Elmira!S:T,2,FALSE),"")</f>
        <v/>
      </c>
      <c r="J97" s="187" t="str">
        <f>IFERROR(VLOOKUP($B97,Chatham!K:L,2,FALSE),"")</f>
        <v/>
      </c>
      <c r="K97" s="187" t="str">
        <f>IFERROR(VLOOKUP($B97,London!AM:AN,2,FALSE),"")</f>
        <v/>
      </c>
      <c r="L97" s="187">
        <f>IFERROR(VLOOKUP($B97,'US Open'!A:B,2,FALSE),"")</f>
        <v>31</v>
      </c>
      <c r="M97" s="25" t="str">
        <f>IFERROR(VLOOKUP($B97,'Ontario Singles'!A:B,2,FALSE),"")</f>
        <v/>
      </c>
      <c r="N97" s="10"/>
      <c r="O97" s="19">
        <f>IFERROR(LARGE(D97:M97,1),0)+IFERROR(LARGE(D97:M97,2),0)+IFERROR(LARGE(D97:M97,3),0)+IFERROR(LARGE(D97:M97,4),0)</f>
        <v>31</v>
      </c>
      <c r="P97" s="20">
        <f>SUM(D97:M97)/C97</f>
        <v>31</v>
      </c>
      <c r="S97" s="2"/>
      <c r="T97" s="36"/>
      <c r="U97" s="5"/>
    </row>
    <row r="98" spans="1:23" s="8" customFormat="1" ht="18" thickBot="1">
      <c r="A98" s="15">
        <f>RANK(O98,O$5:O$197)</f>
        <v>91</v>
      </c>
      <c r="B98" s="23" t="s">
        <v>485</v>
      </c>
      <c r="C98" s="17">
        <f>COUNT(D98:M98)</f>
        <v>1</v>
      </c>
      <c r="D98" s="116" t="str">
        <f>IFERROR(VLOOKUP($B98,'NCA Players Doubles'!$Z:$AB,3,FALSE),IFERROR(VLOOKUP($B98,'NCA Players Doubles'!$AA:$AB,2,FALSE),""))</f>
        <v/>
      </c>
      <c r="E98" s="4" t="str">
        <f>IFERROR(VLOOKUP($B98,'NCA Players Singles'!$V:$W,2,FALSE),"")</f>
        <v/>
      </c>
      <c r="F98" s="33" t="str">
        <f>IFERROR(VLOOKUP($B98,Belleville!$U:$V,2,FALSE),"")</f>
        <v/>
      </c>
      <c r="G98" s="187" t="str">
        <f>IFERROR(VLOOKUP($B98,'Owen Sound'!$Z:$AA,2,FALSE),"")</f>
        <v/>
      </c>
      <c r="H98" s="187" t="str">
        <f>IFERROR(VLOOKUP($B98,ODCC!O:P,2,FALSE),"")</f>
        <v/>
      </c>
      <c r="I98" s="187" t="str">
        <f>IFERROR(VLOOKUP($B98,Elmira!S:T,2,FALSE),"")</f>
        <v/>
      </c>
      <c r="J98" s="187" t="str">
        <f>IFERROR(VLOOKUP($B98,Chatham!K:L,2,FALSE),"")</f>
        <v/>
      </c>
      <c r="K98" s="187" t="str">
        <f>IFERROR(VLOOKUP($B98,London!AM:AN,2,FALSE),"")</f>
        <v/>
      </c>
      <c r="L98" s="187">
        <f>IFERROR(VLOOKUP($B98,'US Open'!A:B,2,FALSE),"")</f>
        <v>31</v>
      </c>
      <c r="M98" s="25" t="str">
        <f>IFERROR(VLOOKUP($B98,'Ontario Singles'!A:B,2,FALSE),"")</f>
        <v/>
      </c>
      <c r="N98" s="10"/>
      <c r="O98" s="19">
        <f>IFERROR(LARGE(D98:M98,1),0)+IFERROR(LARGE(D98:M98,2),0)+IFERROR(LARGE(D98:M98,3),0)+IFERROR(LARGE(D98:M98,4),0)</f>
        <v>31</v>
      </c>
      <c r="P98" s="20">
        <f>SUM(D98:M98)/C98</f>
        <v>31</v>
      </c>
    </row>
    <row r="99" spans="1:23" s="8" customFormat="1" ht="24" thickBot="1">
      <c r="A99" s="15">
        <f>RANK(O99,O$5:O$197)</f>
        <v>95</v>
      </c>
      <c r="B99" s="23" t="s">
        <v>215</v>
      </c>
      <c r="C99" s="17">
        <f>COUNT(D99:M99)</f>
        <v>1</v>
      </c>
      <c r="D99" s="116" t="str">
        <f>IFERROR(VLOOKUP($B99,'NCA Players Doubles'!$Z:$AB,3,FALSE),IFERROR(VLOOKUP($B99,'NCA Players Doubles'!$AA:$AB,2,FALSE),""))</f>
        <v/>
      </c>
      <c r="E99" s="4" t="str">
        <f>IFERROR(VLOOKUP($B99,'NCA Players Singles'!$V:$W,2,FALSE),"")</f>
        <v/>
      </c>
      <c r="F99" s="26">
        <f>IFERROR(VLOOKUP($B99,Belleville!$U:$V,2,FALSE),"")</f>
        <v>30</v>
      </c>
      <c r="G99" s="187" t="str">
        <f>IFERROR(VLOOKUP($B99,'Owen Sound'!$Z:$AA,2,FALSE),"")</f>
        <v/>
      </c>
      <c r="H99" s="187" t="str">
        <f>IFERROR(VLOOKUP($B99,ODCC!O:P,2,FALSE),"")</f>
        <v/>
      </c>
      <c r="I99" s="187" t="str">
        <f>IFERROR(VLOOKUP($B99,Elmira!S:T,2,FALSE),"")</f>
        <v/>
      </c>
      <c r="J99" s="187" t="str">
        <f>IFERROR(VLOOKUP($B99,Chatham!K:L,2,FALSE),"")</f>
        <v/>
      </c>
      <c r="K99" s="187" t="str">
        <f>IFERROR(VLOOKUP($B99,London!AM:AN,2,FALSE),"")</f>
        <v/>
      </c>
      <c r="L99" s="187" t="str">
        <f>IFERROR(VLOOKUP($B99,'US Open'!A:B,2,FALSE),"")</f>
        <v/>
      </c>
      <c r="M99" s="25" t="str">
        <f>IFERROR(VLOOKUP($B99,'Ontario Singles'!A:B,2,FALSE),"")</f>
        <v/>
      </c>
      <c r="N99" s="10"/>
      <c r="O99" s="19">
        <f>IFERROR(LARGE(D99:M99,1),0)+IFERROR(LARGE(D99:M99,2),0)+IFERROR(LARGE(D99:M99,3),0)+IFERROR(LARGE(D99:M99,4),0)</f>
        <v>30</v>
      </c>
      <c r="P99" s="20">
        <f>SUM(D99:M99)/C99</f>
        <v>30</v>
      </c>
      <c r="R99" s="2"/>
      <c r="S99" s="2"/>
      <c r="T99" s="22"/>
      <c r="U99" s="2"/>
      <c r="V99" s="10"/>
      <c r="W99" s="10"/>
    </row>
    <row r="100" spans="1:23" s="8" customFormat="1" ht="24" thickBot="1">
      <c r="A100" s="15">
        <f>RANK(O100,O$5:O$197)</f>
        <v>95</v>
      </c>
      <c r="B100" s="23" t="s">
        <v>232</v>
      </c>
      <c r="C100" s="17">
        <f>COUNT(D100:M100)</f>
        <v>1</v>
      </c>
      <c r="D100" s="116" t="str">
        <f>IFERROR(VLOOKUP($B100,'NCA Players Doubles'!$Z:$AB,3,FALSE),IFERROR(VLOOKUP($B100,'NCA Players Doubles'!$AA:$AB,2,FALSE),""))</f>
        <v/>
      </c>
      <c r="E100" s="4" t="str">
        <f>IFERROR(VLOOKUP($B100,'NCA Players Singles'!$V:$W,2,FALSE),"")</f>
        <v/>
      </c>
      <c r="F100" s="26" t="str">
        <f>IFERROR(VLOOKUP($B100,Belleville!$U:$V,2,FALSE),"")</f>
        <v/>
      </c>
      <c r="G100" s="187">
        <f>IFERROR(VLOOKUP($B100,'Owen Sound'!$Z:$AA,2,FALSE),"")</f>
        <v>30</v>
      </c>
      <c r="H100" s="187" t="str">
        <f>IFERROR(VLOOKUP($B100,ODCC!O:P,2,FALSE),"")</f>
        <v/>
      </c>
      <c r="I100" s="187" t="str">
        <f>IFERROR(VLOOKUP($B100,Elmira!S:T,2,FALSE),"")</f>
        <v/>
      </c>
      <c r="J100" s="187" t="str">
        <f>IFERROR(VLOOKUP($B100,Chatham!K:L,2,FALSE),"")</f>
        <v/>
      </c>
      <c r="K100" s="187" t="str">
        <f>IFERROR(VLOOKUP($B100,London!AM:AN,2,FALSE),"")</f>
        <v/>
      </c>
      <c r="L100" s="187" t="str">
        <f>IFERROR(VLOOKUP($B100,'US Open'!A:B,2,FALSE),"")</f>
        <v/>
      </c>
      <c r="M100" s="25" t="str">
        <f>IFERROR(VLOOKUP($B100,'Ontario Singles'!A:B,2,FALSE),"")</f>
        <v/>
      </c>
      <c r="N100" s="10"/>
      <c r="O100" s="19">
        <f>IFERROR(LARGE(D100:M100,1),0)+IFERROR(LARGE(D100:M100,2),0)+IFERROR(LARGE(D100:M100,3),0)+IFERROR(LARGE(D100:M100,4),0)</f>
        <v>30</v>
      </c>
      <c r="P100" s="20">
        <f>SUM(D100:M100)/C100</f>
        <v>30</v>
      </c>
      <c r="Q100" s="21"/>
      <c r="R100" s="2"/>
      <c r="S100" s="2"/>
      <c r="T100" s="36"/>
      <c r="U100" s="5"/>
    </row>
    <row r="101" spans="1:23" s="8" customFormat="1" ht="24" thickBot="1">
      <c r="A101" s="15">
        <f>RANK(O101,O$5:O$197)</f>
        <v>95</v>
      </c>
      <c r="B101" s="23" t="s">
        <v>514</v>
      </c>
      <c r="C101" s="17">
        <f>COUNT(D101:M101)</f>
        <v>1</v>
      </c>
      <c r="D101" s="116" t="str">
        <f>IFERROR(VLOOKUP($B101,'NCA Players Doubles'!$Z:$AB,3,FALSE),IFERROR(VLOOKUP($B101,'NCA Players Doubles'!$AA:$AB,2,FALSE),""))</f>
        <v/>
      </c>
      <c r="E101" s="4" t="str">
        <f>IFERROR(VLOOKUP($B101,'NCA Players Singles'!$V:$W,2,FALSE),"")</f>
        <v/>
      </c>
      <c r="F101" s="26" t="str">
        <f>IFERROR(VLOOKUP($B101,Belleville!$U:$V,2,FALSE),"")</f>
        <v/>
      </c>
      <c r="G101" s="187" t="str">
        <f>IFERROR(VLOOKUP($B101,'Owen Sound'!$Z:$AA,2,FALSE),"")</f>
        <v/>
      </c>
      <c r="H101" s="187" t="str">
        <f>IFERROR(VLOOKUP($B101,ODCC!O:P,2,FALSE),"")</f>
        <v/>
      </c>
      <c r="I101" s="187" t="str">
        <f>IFERROR(VLOOKUP($B101,Elmira!S:T,2,FALSE),"")</f>
        <v/>
      </c>
      <c r="J101" s="187" t="str">
        <f>IFERROR(VLOOKUP($B101,Chatham!K:L,2,FALSE),"")</f>
        <v/>
      </c>
      <c r="K101" s="187" t="str">
        <f>IFERROR(VLOOKUP($B101,London!AM:AN,2,FALSE),"")</f>
        <v/>
      </c>
      <c r="L101" s="187">
        <f>IFERROR(VLOOKUP($B101,'US Open'!A:B,2,FALSE),"")</f>
        <v>30</v>
      </c>
      <c r="M101" s="25" t="str">
        <f>IFERROR(VLOOKUP($B101,'Ontario Singles'!A:B,2,FALSE),"")</f>
        <v/>
      </c>
      <c r="N101" s="10"/>
      <c r="O101" s="19">
        <f>IFERROR(LARGE(D101:M101,1),0)+IFERROR(LARGE(D101:M101,2),0)+IFERROR(LARGE(D101:M101,3),0)+IFERROR(LARGE(D101:M101,4),0)</f>
        <v>30</v>
      </c>
      <c r="P101" s="20">
        <f>SUM(D101:M101)/C101</f>
        <v>30</v>
      </c>
      <c r="S101" s="2"/>
      <c r="T101" s="36"/>
      <c r="U101" s="5"/>
    </row>
    <row r="102" spans="1:23" s="8" customFormat="1" ht="24" thickBot="1">
      <c r="A102" s="15">
        <f>RANK(O102,O$5:O$197)</f>
        <v>95</v>
      </c>
      <c r="B102" s="23" t="s">
        <v>486</v>
      </c>
      <c r="C102" s="17">
        <f>COUNT(D102:M102)</f>
        <v>1</v>
      </c>
      <c r="D102" s="116" t="str">
        <f>IFERROR(VLOOKUP($B102,'NCA Players Doubles'!$Z:$AB,3,FALSE),IFERROR(VLOOKUP($B102,'NCA Players Doubles'!$AA:$AB,2,FALSE),""))</f>
        <v/>
      </c>
      <c r="E102" s="4" t="str">
        <f>IFERROR(VLOOKUP($B102,'NCA Players Singles'!$V:$W,2,FALSE),"")</f>
        <v/>
      </c>
      <c r="F102" s="31" t="str">
        <f>IFERROR(VLOOKUP($B102,Belleville!$U:$V,2,FALSE),"")</f>
        <v/>
      </c>
      <c r="G102" s="187" t="str">
        <f>IFERROR(VLOOKUP($B102,'Owen Sound'!$Z:$AA,2,FALSE),"")</f>
        <v/>
      </c>
      <c r="H102" s="187" t="str">
        <f>IFERROR(VLOOKUP($B102,ODCC!O:P,2,FALSE),"")</f>
        <v/>
      </c>
      <c r="I102" s="187" t="str">
        <f>IFERROR(VLOOKUP($B102,Elmira!S:T,2,FALSE),"")</f>
        <v/>
      </c>
      <c r="J102" s="187" t="str">
        <f>IFERROR(VLOOKUP($B102,Chatham!K:L,2,FALSE),"")</f>
        <v/>
      </c>
      <c r="K102" s="187" t="str">
        <f>IFERROR(VLOOKUP($B102,London!AM:AN,2,FALSE),"")</f>
        <v/>
      </c>
      <c r="L102" s="187">
        <f>IFERROR(VLOOKUP($B102,'US Open'!A:B,2,FALSE),"")</f>
        <v>30</v>
      </c>
      <c r="M102" s="25" t="str">
        <f>IFERROR(VLOOKUP($B102,'Ontario Singles'!A:B,2,FALSE),"")</f>
        <v/>
      </c>
      <c r="N102" s="10"/>
      <c r="O102" s="19">
        <f>IFERROR(LARGE(D102:M102,1),0)+IFERROR(LARGE(D102:M102,2),0)+IFERROR(LARGE(D102:M102,3),0)+IFERROR(LARGE(D102:M102,4),0)</f>
        <v>30</v>
      </c>
      <c r="P102" s="20">
        <f>SUM(D102:M102)/C102</f>
        <v>30</v>
      </c>
    </row>
    <row r="103" spans="1:23" s="8" customFormat="1" ht="24" thickBot="1">
      <c r="A103" s="15">
        <f>RANK(O103,O$5:O$197)</f>
        <v>99</v>
      </c>
      <c r="B103" s="23" t="s">
        <v>120</v>
      </c>
      <c r="C103" s="17">
        <f>COUNT(D103:M103)</f>
        <v>1</v>
      </c>
      <c r="D103" s="116">
        <f>IFERROR(VLOOKUP($B103,'NCA Players Doubles'!$Z:$AB,3,FALSE),IFERROR(VLOOKUP($B103,'NCA Players Doubles'!$AA:$AB,2,FALSE),""))</f>
        <v>29</v>
      </c>
      <c r="E103" s="4" t="str">
        <f>IFERROR(VLOOKUP($B103,'NCA Players Singles'!$V:$W,2,FALSE),"")</f>
        <v/>
      </c>
      <c r="F103" s="26" t="str">
        <f>IFERROR(VLOOKUP($B103,Belleville!$U:$V,2,FALSE),"")</f>
        <v/>
      </c>
      <c r="G103" s="187" t="str">
        <f>IFERROR(VLOOKUP($B103,'Owen Sound'!$Z:$AA,2,FALSE),"")</f>
        <v/>
      </c>
      <c r="H103" s="187" t="str">
        <f>IFERROR(VLOOKUP($B103,ODCC!O:P,2,FALSE),"")</f>
        <v/>
      </c>
      <c r="I103" s="187" t="str">
        <f>IFERROR(VLOOKUP($B103,Elmira!S:T,2,FALSE),"")</f>
        <v/>
      </c>
      <c r="J103" s="187" t="str">
        <f>IFERROR(VLOOKUP($B103,Chatham!K:L,2,FALSE),"")</f>
        <v/>
      </c>
      <c r="K103" s="187" t="str">
        <f>IFERROR(VLOOKUP($B103,London!AM:AN,2,FALSE),"")</f>
        <v/>
      </c>
      <c r="L103" s="187" t="str">
        <f>IFERROR(VLOOKUP($B103,'US Open'!A:B,2,FALSE),"")</f>
        <v/>
      </c>
      <c r="M103" s="25" t="str">
        <f>IFERROR(VLOOKUP($B103,'Ontario Singles'!A:B,2,FALSE),"")</f>
        <v/>
      </c>
      <c r="N103" s="10"/>
      <c r="O103" s="19">
        <f>IFERROR(LARGE(D103:M103,1),0)+IFERROR(LARGE(D103:M103,2),0)+IFERROR(LARGE(D103:M103,3),0)+IFERROR(LARGE(D103:M103,4),0)</f>
        <v>29</v>
      </c>
      <c r="P103" s="20">
        <f>SUM(D103:M103)/C103</f>
        <v>29</v>
      </c>
      <c r="Q103" s="21"/>
      <c r="R103" s="2"/>
      <c r="S103" s="2"/>
      <c r="T103" s="36"/>
      <c r="U103" s="10"/>
      <c r="V103" s="36"/>
      <c r="W103" s="10"/>
    </row>
    <row r="104" spans="1:23" s="8" customFormat="1" ht="18" thickBot="1">
      <c r="A104" s="15">
        <f>RANK(O104,O$5:O$197)</f>
        <v>99</v>
      </c>
      <c r="B104" s="23" t="s">
        <v>216</v>
      </c>
      <c r="C104" s="17">
        <f>COUNT(D104:M104)</f>
        <v>1</v>
      </c>
      <c r="D104" s="116" t="str">
        <f>IFERROR(VLOOKUP($B104,'NCA Players Doubles'!$Z:$AB,3,FALSE),IFERROR(VLOOKUP($B104,'NCA Players Doubles'!$AA:$AB,2,FALSE),""))</f>
        <v/>
      </c>
      <c r="E104" s="4" t="str">
        <f>IFERROR(VLOOKUP($B104,'NCA Players Singles'!$V:$W,2,FALSE),"")</f>
        <v/>
      </c>
      <c r="F104" s="18">
        <f>IFERROR(VLOOKUP($B104,Belleville!$U:$V,2,FALSE),"")</f>
        <v>29</v>
      </c>
      <c r="G104" s="187" t="str">
        <f>IFERROR(VLOOKUP($B104,'Owen Sound'!$Z:$AA,2,FALSE),"")</f>
        <v/>
      </c>
      <c r="H104" s="187" t="str">
        <f>IFERROR(VLOOKUP($B104,ODCC!O:P,2,FALSE),"")</f>
        <v/>
      </c>
      <c r="I104" s="187" t="str">
        <f>IFERROR(VLOOKUP($B104,Elmira!S:T,2,FALSE),"")</f>
        <v/>
      </c>
      <c r="J104" s="187" t="str">
        <f>IFERROR(VLOOKUP($B104,Chatham!K:L,2,FALSE),"")</f>
        <v/>
      </c>
      <c r="K104" s="187" t="str">
        <f>IFERROR(VLOOKUP($B104,London!AM:AN,2,FALSE),"")</f>
        <v/>
      </c>
      <c r="L104" s="187" t="str">
        <f>IFERROR(VLOOKUP($B104,'US Open'!A:B,2,FALSE),"")</f>
        <v/>
      </c>
      <c r="M104" s="25" t="str">
        <f>IFERROR(VLOOKUP($B104,'Ontario Singles'!A:B,2,FALSE),"")</f>
        <v/>
      </c>
      <c r="N104" s="10"/>
      <c r="O104" s="19">
        <f>IFERROR(LARGE(D104:M104,1),0)+IFERROR(LARGE(D104:M104,2),0)+IFERROR(LARGE(D104:M104,3),0)+IFERROR(LARGE(D104:M104,4),0)</f>
        <v>29</v>
      </c>
      <c r="P104" s="20">
        <f>SUM(D104:M104)/C104</f>
        <v>29</v>
      </c>
      <c r="Q104" s="21"/>
      <c r="T104" s="22"/>
      <c r="U104" s="2"/>
      <c r="V104" s="10"/>
      <c r="W104" s="10"/>
    </row>
    <row r="105" spans="1:23" s="8" customFormat="1" ht="18" thickBot="1">
      <c r="A105" s="15">
        <f>RANK(O105,O$5:O$197)</f>
        <v>99</v>
      </c>
      <c r="B105" s="23" t="s">
        <v>515</v>
      </c>
      <c r="C105" s="17">
        <f>COUNT(D105:M105)</f>
        <v>1</v>
      </c>
      <c r="D105" s="116" t="str">
        <f>IFERROR(VLOOKUP($B105,'NCA Players Doubles'!$Z:$AB,3,FALSE),IFERROR(VLOOKUP($B105,'NCA Players Doubles'!$AA:$AB,2,FALSE),""))</f>
        <v/>
      </c>
      <c r="E105" s="4" t="str">
        <f>IFERROR(VLOOKUP($B105,'NCA Players Singles'!$V:$W,2,FALSE),"")</f>
        <v/>
      </c>
      <c r="F105" s="26" t="str">
        <f>IFERROR(VLOOKUP($B105,Belleville!$U:$V,2,FALSE),"")</f>
        <v/>
      </c>
      <c r="G105" s="187" t="str">
        <f>IFERROR(VLOOKUP($B105,'Owen Sound'!$Z:$AA,2,FALSE),"")</f>
        <v/>
      </c>
      <c r="H105" s="187" t="str">
        <f>IFERROR(VLOOKUP($B105,ODCC!O:P,2,FALSE),"")</f>
        <v/>
      </c>
      <c r="I105" s="187" t="str">
        <f>IFERROR(VLOOKUP($B105,Elmira!S:T,2,FALSE),"")</f>
        <v/>
      </c>
      <c r="J105" s="187" t="str">
        <f>IFERROR(VLOOKUP($B105,Chatham!K:L,2,FALSE),"")</f>
        <v/>
      </c>
      <c r="K105" s="187" t="str">
        <f>IFERROR(VLOOKUP($B105,London!AM:AN,2,FALSE),"")</f>
        <v/>
      </c>
      <c r="L105" s="187">
        <f>IFERROR(VLOOKUP($B105,'US Open'!A:B,2,FALSE),"")</f>
        <v>29</v>
      </c>
      <c r="M105" s="25" t="str">
        <f>IFERROR(VLOOKUP($B105,'Ontario Singles'!A:B,2,FALSE),"")</f>
        <v/>
      </c>
      <c r="N105" s="10"/>
      <c r="O105" s="19">
        <f>IFERROR(LARGE(D105:M105,1),0)+IFERROR(LARGE(D105:M105,2),0)+IFERROR(LARGE(D105:M105,3),0)+IFERROR(LARGE(D105:M105,4),0)</f>
        <v>29</v>
      </c>
      <c r="P105" s="20">
        <f>SUM(D105:M105)/C105</f>
        <v>29</v>
      </c>
      <c r="S105" s="2"/>
      <c r="T105" s="36"/>
      <c r="U105" s="5"/>
    </row>
    <row r="106" spans="1:23" s="8" customFormat="1" ht="24" thickBot="1">
      <c r="A106" s="15">
        <f>RANK(O106,O$5:O$197)</f>
        <v>99</v>
      </c>
      <c r="B106" s="23" t="s">
        <v>487</v>
      </c>
      <c r="C106" s="17">
        <f>COUNT(D106:M106)</f>
        <v>1</v>
      </c>
      <c r="D106" s="116" t="str">
        <f>IFERROR(VLOOKUP($B106,'NCA Players Doubles'!$Z:$AB,3,FALSE),IFERROR(VLOOKUP($B106,'NCA Players Doubles'!$AA:$AB,2,FALSE),""))</f>
        <v/>
      </c>
      <c r="E106" s="4" t="str">
        <f>IFERROR(VLOOKUP($B106,'NCA Players Singles'!$V:$W,2,FALSE),"")</f>
        <v/>
      </c>
      <c r="F106" s="24" t="str">
        <f>IFERROR(VLOOKUP($B106,Belleville!$U:$V,2,FALSE),"")</f>
        <v/>
      </c>
      <c r="G106" s="187" t="str">
        <f>IFERROR(VLOOKUP($B106,'Owen Sound'!$Z:$AA,2,FALSE),"")</f>
        <v/>
      </c>
      <c r="H106" s="187" t="str">
        <f>IFERROR(VLOOKUP($B106,ODCC!O:P,2,FALSE),"")</f>
        <v/>
      </c>
      <c r="I106" s="187" t="str">
        <f>IFERROR(VLOOKUP($B106,Elmira!S:T,2,FALSE),"")</f>
        <v/>
      </c>
      <c r="J106" s="187" t="str">
        <f>IFERROR(VLOOKUP($B106,Chatham!K:L,2,FALSE),"")</f>
        <v/>
      </c>
      <c r="K106" s="187" t="str">
        <f>IFERROR(VLOOKUP($B106,London!AM:AN,2,FALSE),"")</f>
        <v/>
      </c>
      <c r="L106" s="187">
        <f>IFERROR(VLOOKUP($B106,'US Open'!A:B,2,FALSE),"")</f>
        <v>29</v>
      </c>
      <c r="M106" s="25" t="str">
        <f>IFERROR(VLOOKUP($B106,'Ontario Singles'!A:B,2,FALSE),"")</f>
        <v/>
      </c>
      <c r="N106" s="10"/>
      <c r="O106" s="19">
        <f>IFERROR(LARGE(D106:M106,1),0)+IFERROR(LARGE(D106:M106,2),0)+IFERROR(LARGE(D106:M106,3),0)+IFERROR(LARGE(D106:M106,4),0)</f>
        <v>29</v>
      </c>
      <c r="P106" s="20">
        <f>SUM(D106:M106)/C106</f>
        <v>29</v>
      </c>
    </row>
    <row r="107" spans="1:23" s="8" customFormat="1" ht="24" thickBot="1">
      <c r="A107" s="15">
        <f>RANK(O107,O$5:O$197)</f>
        <v>103</v>
      </c>
      <c r="B107" s="23" t="s">
        <v>340</v>
      </c>
      <c r="C107" s="17">
        <f>COUNT(D107:M107)</f>
        <v>1</v>
      </c>
      <c r="D107" s="116" t="str">
        <f>IFERROR(VLOOKUP($B107,'NCA Players Doubles'!$Z:$AB,3,FALSE),IFERROR(VLOOKUP($B107,'NCA Players Doubles'!$AA:$AB,2,FALSE),""))</f>
        <v/>
      </c>
      <c r="E107" s="4" t="str">
        <f>IFERROR(VLOOKUP($B107,'NCA Players Singles'!$V:$W,2,FALSE),"")</f>
        <v/>
      </c>
      <c r="F107" s="26" t="str">
        <f>IFERROR(VLOOKUP($B107,Belleville!$U:$V,2,FALSE),"")</f>
        <v/>
      </c>
      <c r="G107" s="187" t="str">
        <f>IFERROR(VLOOKUP($B107,'Owen Sound'!$Z:$AA,2,FALSE),"")</f>
        <v/>
      </c>
      <c r="H107" s="187" t="str">
        <f>IFERROR(VLOOKUP($B107,ODCC!O:P,2,FALSE),"")</f>
        <v/>
      </c>
      <c r="I107" s="187" t="str">
        <f>IFERROR(VLOOKUP($B107,Elmira!S:T,2,FALSE),"")</f>
        <v/>
      </c>
      <c r="J107" s="187">
        <f>IFERROR(VLOOKUP($B107,Chatham!K:L,2,FALSE),"")</f>
        <v>28</v>
      </c>
      <c r="K107" s="187" t="str">
        <f>IFERROR(VLOOKUP($B107,London!AM:AN,2,FALSE),"")</f>
        <v/>
      </c>
      <c r="L107" s="187" t="str">
        <f>IFERROR(VLOOKUP($B107,'US Open'!A:B,2,FALSE),"")</f>
        <v/>
      </c>
      <c r="M107" s="25" t="str">
        <f>IFERROR(VLOOKUP($B107,'Ontario Singles'!A:B,2,FALSE),"")</f>
        <v/>
      </c>
      <c r="N107" s="10"/>
      <c r="O107" s="19">
        <f>IFERROR(LARGE(D107:M107,1),0)+IFERROR(LARGE(D107:M107,2),0)+IFERROR(LARGE(D107:M107,3),0)+IFERROR(LARGE(D107:M107,4),0)</f>
        <v>28</v>
      </c>
      <c r="P107" s="20">
        <f>SUM(D107:M107)/C107</f>
        <v>28</v>
      </c>
      <c r="S107" s="2"/>
      <c r="T107" s="36"/>
      <c r="U107" s="5"/>
    </row>
    <row r="108" spans="1:23" s="8" customFormat="1" ht="24" thickBot="1">
      <c r="A108" s="15">
        <f>RANK(O108,O$5:O$197)</f>
        <v>103</v>
      </c>
      <c r="B108" s="23" t="s">
        <v>516</v>
      </c>
      <c r="C108" s="17">
        <f>COUNT(D108:M108)</f>
        <v>1</v>
      </c>
      <c r="D108" s="116" t="str">
        <f>IFERROR(VLOOKUP($B108,'NCA Players Doubles'!$Z:$AB,3,FALSE),IFERROR(VLOOKUP($B108,'NCA Players Doubles'!$AA:$AB,2,FALSE),""))</f>
        <v/>
      </c>
      <c r="E108" s="4" t="str">
        <f>IFERROR(VLOOKUP($B108,'NCA Players Singles'!$V:$W,2,FALSE),"")</f>
        <v/>
      </c>
      <c r="F108" s="18" t="str">
        <f>IFERROR(VLOOKUP($B108,Belleville!$U:$V,2,FALSE),"")</f>
        <v/>
      </c>
      <c r="G108" s="187" t="str">
        <f>IFERROR(VLOOKUP($B108,'Owen Sound'!$Z:$AA,2,FALSE),"")</f>
        <v/>
      </c>
      <c r="H108" s="187" t="str">
        <f>IFERROR(VLOOKUP($B108,ODCC!O:P,2,FALSE),"")</f>
        <v/>
      </c>
      <c r="I108" s="187" t="str">
        <f>IFERROR(VLOOKUP($B108,Elmira!S:T,2,FALSE),"")</f>
        <v/>
      </c>
      <c r="J108" s="187" t="str">
        <f>IFERROR(VLOOKUP($B108,Chatham!K:L,2,FALSE),"")</f>
        <v/>
      </c>
      <c r="K108" s="187" t="str">
        <f>IFERROR(VLOOKUP($B108,London!AM:AN,2,FALSE),"")</f>
        <v/>
      </c>
      <c r="L108" s="187">
        <f>IFERROR(VLOOKUP($B108,'US Open'!A:B,2,FALSE),"")</f>
        <v>28</v>
      </c>
      <c r="M108" s="25" t="str">
        <f>IFERROR(VLOOKUP($B108,'Ontario Singles'!A:B,2,FALSE),"")</f>
        <v/>
      </c>
      <c r="N108" s="10"/>
      <c r="O108" s="19">
        <f>IFERROR(LARGE(D108:M108,1),0)+IFERROR(LARGE(D108:M108,2),0)+IFERROR(LARGE(D108:M108,3),0)+IFERROR(LARGE(D108:M108,4),0)</f>
        <v>28</v>
      </c>
      <c r="P108" s="20">
        <f>SUM(D108:M108)/C108</f>
        <v>28</v>
      </c>
      <c r="S108" s="2"/>
      <c r="T108" s="36"/>
      <c r="U108" s="5"/>
    </row>
    <row r="109" spans="1:23" s="8" customFormat="1" ht="24" thickBot="1">
      <c r="A109" s="15">
        <f>RANK(O109,O$5:O$197)</f>
        <v>103</v>
      </c>
      <c r="B109" s="23" t="s">
        <v>488</v>
      </c>
      <c r="C109" s="17">
        <f>COUNT(D109:M109)</f>
        <v>1</v>
      </c>
      <c r="D109" s="116" t="str">
        <f>IFERROR(VLOOKUP($B109,'NCA Players Doubles'!$Z:$AB,3,FALSE),IFERROR(VLOOKUP($B109,'NCA Players Doubles'!$AA:$AB,2,FALSE),""))</f>
        <v/>
      </c>
      <c r="E109" s="4" t="str">
        <f>IFERROR(VLOOKUP($B109,'NCA Players Singles'!$V:$W,2,FALSE),"")</f>
        <v/>
      </c>
      <c r="F109" s="33" t="str">
        <f>IFERROR(VLOOKUP($B109,Belleville!$U:$V,2,FALSE),"")</f>
        <v/>
      </c>
      <c r="G109" s="187" t="str">
        <f>IFERROR(VLOOKUP($B109,'Owen Sound'!$Z:$AA,2,FALSE),"")</f>
        <v/>
      </c>
      <c r="H109" s="187" t="str">
        <f>IFERROR(VLOOKUP($B109,ODCC!O:P,2,FALSE),"")</f>
        <v/>
      </c>
      <c r="I109" s="187" t="str">
        <f>IFERROR(VLOOKUP($B109,Elmira!S:T,2,FALSE),"")</f>
        <v/>
      </c>
      <c r="J109" s="187" t="str">
        <f>IFERROR(VLOOKUP($B109,Chatham!K:L,2,FALSE),"")</f>
        <v/>
      </c>
      <c r="K109" s="187" t="str">
        <f>IFERROR(VLOOKUP($B109,London!AM:AN,2,FALSE),"")</f>
        <v/>
      </c>
      <c r="L109" s="187">
        <f>IFERROR(VLOOKUP($B109,'US Open'!A:B,2,FALSE),"")</f>
        <v>28</v>
      </c>
      <c r="M109" s="25" t="str">
        <f>IFERROR(VLOOKUP($B109,'Ontario Singles'!A:B,2,FALSE),"")</f>
        <v/>
      </c>
      <c r="N109" s="10"/>
      <c r="O109" s="19">
        <f>IFERROR(LARGE(D109:M109,1),0)+IFERROR(LARGE(D109:M109,2),0)+IFERROR(LARGE(D109:M109,3),0)+IFERROR(LARGE(D109:M109,4),0)</f>
        <v>28</v>
      </c>
      <c r="P109" s="20">
        <f>SUM(D109:M109)/C109</f>
        <v>28</v>
      </c>
      <c r="Q109" s="21"/>
    </row>
    <row r="110" spans="1:23" s="8" customFormat="1" ht="24" thickBot="1">
      <c r="A110" s="15">
        <f>RANK(O110,O$5:O$197)</f>
        <v>106</v>
      </c>
      <c r="B110" s="23" t="s">
        <v>517</v>
      </c>
      <c r="C110" s="17">
        <f>COUNT(D110:M110)</f>
        <v>1</v>
      </c>
      <c r="D110" s="116" t="str">
        <f>IFERROR(VLOOKUP($B110,'NCA Players Doubles'!$Z:$AB,3,FALSE),IFERROR(VLOOKUP($B110,'NCA Players Doubles'!$AA:$AB,2,FALSE),""))</f>
        <v/>
      </c>
      <c r="E110" s="4" t="str">
        <f>IFERROR(VLOOKUP($B110,'NCA Players Singles'!$V:$W,2,FALSE),"")</f>
        <v/>
      </c>
      <c r="F110" s="26" t="str">
        <f>IFERROR(VLOOKUP($B110,Belleville!$U:$V,2,FALSE),"")</f>
        <v/>
      </c>
      <c r="G110" s="187" t="str">
        <f>IFERROR(VLOOKUP($B110,'Owen Sound'!$Z:$AA,2,FALSE),"")</f>
        <v/>
      </c>
      <c r="H110" s="187" t="str">
        <f>IFERROR(VLOOKUP($B110,ODCC!O:P,2,FALSE),"")</f>
        <v/>
      </c>
      <c r="I110" s="187" t="str">
        <f>IFERROR(VLOOKUP($B110,Elmira!S:T,2,FALSE),"")</f>
        <v/>
      </c>
      <c r="J110" s="187" t="str">
        <f>IFERROR(VLOOKUP($B110,Chatham!K:L,2,FALSE),"")</f>
        <v/>
      </c>
      <c r="K110" s="187" t="str">
        <f>IFERROR(VLOOKUP($B110,London!AM:AN,2,FALSE),"")</f>
        <v/>
      </c>
      <c r="L110" s="187">
        <f>IFERROR(VLOOKUP($B110,'US Open'!A:B,2,FALSE),"")</f>
        <v>27</v>
      </c>
      <c r="M110" s="25" t="str">
        <f>IFERROR(VLOOKUP($B110,'Ontario Singles'!A:B,2,FALSE),"")</f>
        <v/>
      </c>
      <c r="N110" s="10"/>
      <c r="O110" s="19">
        <f>IFERROR(LARGE(D110:M110,1),0)+IFERROR(LARGE(D110:M110,2),0)+IFERROR(LARGE(D110:M110,3),0)+IFERROR(LARGE(D110:M110,4),0)</f>
        <v>27</v>
      </c>
      <c r="P110" s="20">
        <f>SUM(D110:M110)/C110</f>
        <v>27</v>
      </c>
      <c r="S110" s="2"/>
      <c r="T110" s="36"/>
      <c r="U110" s="5"/>
    </row>
    <row r="111" spans="1:23" s="8" customFormat="1" ht="24" thickBot="1">
      <c r="A111" s="15">
        <f>RANK(O111,O$5:O$197)</f>
        <v>106</v>
      </c>
      <c r="B111" s="23" t="s">
        <v>489</v>
      </c>
      <c r="C111" s="17">
        <f>COUNT(D111:M111)</f>
        <v>1</v>
      </c>
      <c r="D111" s="116" t="str">
        <f>IFERROR(VLOOKUP($B111,'NCA Players Doubles'!$Z:$AB,3,FALSE),IFERROR(VLOOKUP($B111,'NCA Players Doubles'!$AA:$AB,2,FALSE),""))</f>
        <v/>
      </c>
      <c r="E111" s="4" t="str">
        <f>IFERROR(VLOOKUP($B111,'NCA Players Singles'!$V:$W,2,FALSE),"")</f>
        <v/>
      </c>
      <c r="F111" s="31" t="str">
        <f>IFERROR(VLOOKUP($B111,Belleville!$U:$V,2,FALSE),"")</f>
        <v/>
      </c>
      <c r="G111" s="187" t="str">
        <f>IFERROR(VLOOKUP($B111,'Owen Sound'!$Z:$AA,2,FALSE),"")</f>
        <v/>
      </c>
      <c r="H111" s="187" t="str">
        <f>IFERROR(VLOOKUP($B111,ODCC!O:P,2,FALSE),"")</f>
        <v/>
      </c>
      <c r="I111" s="187" t="str">
        <f>IFERROR(VLOOKUP($B111,Elmira!S:T,2,FALSE),"")</f>
        <v/>
      </c>
      <c r="J111" s="187" t="str">
        <f>IFERROR(VLOOKUP($B111,Chatham!K:L,2,FALSE),"")</f>
        <v/>
      </c>
      <c r="K111" s="187" t="str">
        <f>IFERROR(VLOOKUP($B111,London!AM:AN,2,FALSE),"")</f>
        <v/>
      </c>
      <c r="L111" s="187">
        <f>IFERROR(VLOOKUP($B111,'US Open'!A:B,2,FALSE),"")</f>
        <v>27</v>
      </c>
      <c r="M111" s="25" t="str">
        <f>IFERROR(VLOOKUP($B111,'Ontario Singles'!A:B,2,FALSE),"")</f>
        <v/>
      </c>
      <c r="N111" s="10"/>
      <c r="O111" s="19">
        <f>IFERROR(LARGE(D111:M111,1),0)+IFERROR(LARGE(D111:M111,2),0)+IFERROR(LARGE(D111:M111,3),0)+IFERROR(LARGE(D111:M111,4),0)</f>
        <v>27</v>
      </c>
      <c r="P111" s="20">
        <f>SUM(D111:M111)/C111</f>
        <v>27</v>
      </c>
      <c r="Q111" s="21"/>
    </row>
    <row r="112" spans="1:23" s="8" customFormat="1" ht="18.75" customHeight="1" thickBot="1">
      <c r="A112" s="15">
        <f>RANK(O112,O$5:O$197)</f>
        <v>108</v>
      </c>
      <c r="B112" s="23" t="s">
        <v>123</v>
      </c>
      <c r="C112" s="17">
        <f>COUNT(D112:M112)</f>
        <v>1</v>
      </c>
      <c r="D112" s="116">
        <f>IFERROR(VLOOKUP($B112,'NCA Players Doubles'!$Z:$AB,3,FALSE),IFERROR(VLOOKUP($B112,'NCA Players Doubles'!$AA:$AB,2,FALSE),""))</f>
        <v>26</v>
      </c>
      <c r="E112" s="4" t="str">
        <f>IFERROR(VLOOKUP($B112,'NCA Players Singles'!$V:$W,2,FALSE),"")</f>
        <v/>
      </c>
      <c r="F112" s="33" t="str">
        <f>IFERROR(VLOOKUP($B112,Belleville!$U:$V,2,FALSE),"")</f>
        <v/>
      </c>
      <c r="G112" s="187" t="str">
        <f>IFERROR(VLOOKUP($B112,'Owen Sound'!$Z:$AA,2,FALSE),"")</f>
        <v/>
      </c>
      <c r="H112" s="187" t="str">
        <f>IFERROR(VLOOKUP($B112,ODCC!O:P,2,FALSE),"")</f>
        <v/>
      </c>
      <c r="I112" s="187" t="str">
        <f>IFERROR(VLOOKUP($B112,Elmira!S:T,2,FALSE),"")</f>
        <v/>
      </c>
      <c r="J112" s="187" t="str">
        <f>IFERROR(VLOOKUP($B112,Chatham!K:L,2,FALSE),"")</f>
        <v/>
      </c>
      <c r="K112" s="187" t="str">
        <f>IFERROR(VLOOKUP($B112,London!AM:AN,2,FALSE),"")</f>
        <v/>
      </c>
      <c r="L112" s="187" t="str">
        <f>IFERROR(VLOOKUP($B112,'US Open'!A:B,2,FALSE),"")</f>
        <v/>
      </c>
      <c r="M112" s="25" t="str">
        <f>IFERROR(VLOOKUP($B112,'Ontario Singles'!A:B,2,FALSE),"")</f>
        <v/>
      </c>
      <c r="N112" s="10"/>
      <c r="O112" s="19">
        <f>IFERROR(LARGE(D112:M112,1),0)+IFERROR(LARGE(D112:M112,2),0)+IFERROR(LARGE(D112:M112,3),0)+IFERROR(LARGE(D112:M112,4),0)</f>
        <v>26</v>
      </c>
      <c r="P112" s="20">
        <f>SUM(D112:M112)/C112</f>
        <v>26</v>
      </c>
      <c r="Q112" s="21"/>
      <c r="R112" s="2"/>
      <c r="S112" s="2"/>
      <c r="T112" s="36"/>
      <c r="U112" s="10"/>
      <c r="V112" s="22"/>
      <c r="W112" s="10"/>
    </row>
    <row r="113" spans="1:26" s="8" customFormat="1" ht="18.75" customHeight="1" thickBot="1">
      <c r="A113" s="15">
        <f>RANK(O113,O$5:O$197)</f>
        <v>108</v>
      </c>
      <c r="B113" s="23" t="s">
        <v>209</v>
      </c>
      <c r="C113" s="17">
        <f>COUNT(D113:M113)</f>
        <v>1</v>
      </c>
      <c r="D113" s="116" t="str">
        <f>IFERROR(VLOOKUP($B113,'NCA Players Doubles'!$Z:$AB,3,FALSE),IFERROR(VLOOKUP($B113,'NCA Players Doubles'!$AA:$AB,2,FALSE),""))</f>
        <v/>
      </c>
      <c r="E113" s="4" t="str">
        <f>IFERROR(VLOOKUP($B113,'NCA Players Singles'!$V:$W,2,FALSE),"")</f>
        <v/>
      </c>
      <c r="F113" s="33">
        <f>IFERROR(VLOOKUP($B113,Belleville!$U:$V,2,FALSE),"")</f>
        <v>26</v>
      </c>
      <c r="G113" s="187" t="str">
        <f>IFERROR(VLOOKUP($B113,'Owen Sound'!$Z:$AA,2,FALSE),"")</f>
        <v/>
      </c>
      <c r="H113" s="187" t="str">
        <f>IFERROR(VLOOKUP($B113,ODCC!O:P,2,FALSE),"")</f>
        <v/>
      </c>
      <c r="I113" s="187" t="str">
        <f>IFERROR(VLOOKUP($B113,Elmira!S:T,2,FALSE),"")</f>
        <v/>
      </c>
      <c r="J113" s="187" t="str">
        <f>IFERROR(VLOOKUP($B113,Chatham!K:L,2,FALSE),"")</f>
        <v/>
      </c>
      <c r="K113" s="187" t="str">
        <f>IFERROR(VLOOKUP($B113,London!AM:AN,2,FALSE),"")</f>
        <v/>
      </c>
      <c r="L113" s="187" t="str">
        <f>IFERROR(VLOOKUP($B113,'US Open'!A:B,2,FALSE),"")</f>
        <v/>
      </c>
      <c r="M113" s="25" t="str">
        <f>IFERROR(VLOOKUP($B113,'Ontario Singles'!A:B,2,FALSE),"")</f>
        <v/>
      </c>
      <c r="N113" s="10"/>
      <c r="O113" s="19">
        <f>IFERROR(LARGE(D113:M113,1),0)+IFERROR(LARGE(D113:M113,2),0)+IFERROR(LARGE(D113:M113,3),0)+IFERROR(LARGE(D113:M113,4),0)</f>
        <v>26</v>
      </c>
      <c r="P113" s="20">
        <f>SUM(D113:M113)/C113</f>
        <v>26</v>
      </c>
      <c r="Q113" s="21"/>
      <c r="R113" s="2"/>
      <c r="S113" s="2"/>
      <c r="T113" s="22"/>
      <c r="U113" s="2"/>
      <c r="V113" s="10"/>
      <c r="W113" s="32"/>
      <c r="X113" s="32"/>
      <c r="Y113" s="32"/>
      <c r="Z113" s="22"/>
    </row>
    <row r="114" spans="1:26" s="8" customFormat="1" ht="18.75" customHeight="1" thickBot="1">
      <c r="A114" s="15">
        <f>RANK(O114,O$5:O$197)</f>
        <v>108</v>
      </c>
      <c r="B114" s="23" t="s">
        <v>206</v>
      </c>
      <c r="C114" s="17">
        <f>COUNT(D114:M114)</f>
        <v>1</v>
      </c>
      <c r="D114" s="116" t="str">
        <f>IFERROR(VLOOKUP($B114,'NCA Players Doubles'!$Z:$AB,3,FALSE),IFERROR(VLOOKUP($B114,'NCA Players Doubles'!$AA:$AB,2,FALSE),""))</f>
        <v/>
      </c>
      <c r="E114" s="4" t="str">
        <f>IFERROR(VLOOKUP($B114,'NCA Players Singles'!$V:$W,2,FALSE),"")</f>
        <v/>
      </c>
      <c r="F114" s="18">
        <f>IFERROR(VLOOKUP($B114,Belleville!$U:$V,2,FALSE),"")</f>
        <v>26</v>
      </c>
      <c r="G114" s="187" t="str">
        <f>IFERROR(VLOOKUP($B114,'Owen Sound'!$Z:$AA,2,FALSE),"")</f>
        <v/>
      </c>
      <c r="H114" s="187" t="str">
        <f>IFERROR(VLOOKUP($B114,ODCC!O:P,2,FALSE),"")</f>
        <v/>
      </c>
      <c r="I114" s="187" t="str">
        <f>IFERROR(VLOOKUP($B114,Elmira!S:T,2,FALSE),"")</f>
        <v/>
      </c>
      <c r="J114" s="187" t="str">
        <f>IFERROR(VLOOKUP($B114,Chatham!K:L,2,FALSE),"")</f>
        <v/>
      </c>
      <c r="K114" s="187" t="str">
        <f>IFERROR(VLOOKUP($B114,London!AM:AN,2,FALSE),"")</f>
        <v/>
      </c>
      <c r="L114" s="187" t="str">
        <f>IFERROR(VLOOKUP($B114,'US Open'!A:B,2,FALSE),"")</f>
        <v/>
      </c>
      <c r="M114" s="25" t="str">
        <f>IFERROR(VLOOKUP($B114,'Ontario Singles'!A:B,2,FALSE),"")</f>
        <v/>
      </c>
      <c r="N114" s="10"/>
      <c r="O114" s="19">
        <f>IFERROR(LARGE(D114:M114,1),0)+IFERROR(LARGE(D114:M114,2),0)+IFERROR(LARGE(D114:M114,3),0)+IFERROR(LARGE(D114:M114,4),0)</f>
        <v>26</v>
      </c>
      <c r="P114" s="20">
        <f>SUM(D114:M114)/C114</f>
        <v>26</v>
      </c>
      <c r="Q114" s="21"/>
      <c r="R114" s="2"/>
      <c r="S114" s="2"/>
      <c r="T114" s="22"/>
      <c r="U114" s="5"/>
      <c r="W114" s="32"/>
      <c r="X114" s="32"/>
      <c r="Y114" s="32"/>
      <c r="Z114" s="22"/>
    </row>
    <row r="115" spans="1:26" s="8" customFormat="1" ht="18.75" customHeight="1" thickBot="1">
      <c r="A115" s="15">
        <f>RANK(O115,O$5:O$197)</f>
        <v>108</v>
      </c>
      <c r="B115" s="23" t="s">
        <v>392</v>
      </c>
      <c r="C115" s="17">
        <f>COUNT(D115:M115)</f>
        <v>1</v>
      </c>
      <c r="D115" s="116" t="str">
        <f>IFERROR(VLOOKUP($B115,'NCA Players Doubles'!$Z:$AB,3,FALSE),IFERROR(VLOOKUP($B115,'NCA Players Doubles'!$AA:$AB,2,FALSE),""))</f>
        <v/>
      </c>
      <c r="E115" s="4" t="str">
        <f>IFERROR(VLOOKUP($B115,'NCA Players Singles'!$V:$W,2,FALSE),"")</f>
        <v/>
      </c>
      <c r="F115" s="26" t="str">
        <f>IFERROR(VLOOKUP($B115,Belleville!$U:$V,2,FALSE),"")</f>
        <v/>
      </c>
      <c r="G115" s="187" t="str">
        <f>IFERROR(VLOOKUP($B115,'Owen Sound'!$Z:$AA,2,FALSE),"")</f>
        <v/>
      </c>
      <c r="H115" s="187" t="str">
        <f>IFERROR(VLOOKUP($B115,ODCC!O:P,2,FALSE),"")</f>
        <v/>
      </c>
      <c r="I115" s="187" t="str">
        <f>IFERROR(VLOOKUP($B115,Elmira!S:T,2,FALSE),"")</f>
        <v/>
      </c>
      <c r="J115" s="187">
        <f>IFERROR(VLOOKUP($B115,Chatham!K:L,2,FALSE),"")</f>
        <v>26</v>
      </c>
      <c r="K115" s="187" t="str">
        <f>IFERROR(VLOOKUP($B115,London!AM:AN,2,FALSE),"")</f>
        <v/>
      </c>
      <c r="L115" s="187" t="str">
        <f>IFERROR(VLOOKUP($B115,'US Open'!A:B,2,FALSE),"")</f>
        <v/>
      </c>
      <c r="M115" s="25" t="str">
        <f>IFERROR(VLOOKUP($B115,'Ontario Singles'!A:B,2,FALSE),"")</f>
        <v/>
      </c>
      <c r="N115" s="10"/>
      <c r="O115" s="19">
        <f>IFERROR(LARGE(D115:M115,1),0)+IFERROR(LARGE(D115:M115,2),0)+IFERROR(LARGE(D115:M115,3),0)+IFERROR(LARGE(D115:M115,4),0)</f>
        <v>26</v>
      </c>
      <c r="P115" s="20">
        <f>SUM(D115:M115)/C115</f>
        <v>26</v>
      </c>
      <c r="S115" s="2"/>
      <c r="T115" s="36"/>
      <c r="U115" s="5"/>
    </row>
    <row r="116" spans="1:26" s="8" customFormat="1" ht="18.75" customHeight="1" thickBot="1">
      <c r="A116" s="15">
        <f>RANK(O116,O$5:O$197)</f>
        <v>108</v>
      </c>
      <c r="B116" s="23" t="s">
        <v>518</v>
      </c>
      <c r="C116" s="17">
        <f>COUNT(D116:M116)</f>
        <v>1</v>
      </c>
      <c r="D116" s="116" t="str">
        <f>IFERROR(VLOOKUP($B116,'NCA Players Doubles'!$Z:$AB,3,FALSE),IFERROR(VLOOKUP($B116,'NCA Players Doubles'!$AA:$AB,2,FALSE),""))</f>
        <v/>
      </c>
      <c r="E116" s="4" t="str">
        <f>IFERROR(VLOOKUP($B116,'NCA Players Singles'!$V:$W,2,FALSE),"")</f>
        <v/>
      </c>
      <c r="F116" s="33" t="str">
        <f>IFERROR(VLOOKUP($B116,Belleville!$U:$V,2,FALSE),"")</f>
        <v/>
      </c>
      <c r="G116" s="187" t="str">
        <f>IFERROR(VLOOKUP($B116,'Owen Sound'!$Z:$AA,2,FALSE),"")</f>
        <v/>
      </c>
      <c r="H116" s="187" t="str">
        <f>IFERROR(VLOOKUP($B116,ODCC!O:P,2,FALSE),"")</f>
        <v/>
      </c>
      <c r="I116" s="187" t="str">
        <f>IFERROR(VLOOKUP($B116,Elmira!S:T,2,FALSE),"")</f>
        <v/>
      </c>
      <c r="J116" s="187" t="str">
        <f>IFERROR(VLOOKUP($B116,Chatham!K:L,2,FALSE),"")</f>
        <v/>
      </c>
      <c r="K116" s="187" t="str">
        <f>IFERROR(VLOOKUP($B116,London!AM:AN,2,FALSE),"")</f>
        <v/>
      </c>
      <c r="L116" s="187">
        <f>IFERROR(VLOOKUP($B116,'US Open'!A:B,2,FALSE),"")</f>
        <v>26</v>
      </c>
      <c r="M116" s="25" t="str">
        <f>IFERROR(VLOOKUP($B116,'Ontario Singles'!A:B,2,FALSE),"")</f>
        <v/>
      </c>
      <c r="N116" s="10"/>
      <c r="O116" s="19">
        <f>IFERROR(LARGE(D116:M116,1),0)+IFERROR(LARGE(D116:M116,2),0)+IFERROR(LARGE(D116:M116,3),0)+IFERROR(LARGE(D116:M116,4),0)</f>
        <v>26</v>
      </c>
      <c r="P116" s="20">
        <f>SUM(D116:M116)/C116</f>
        <v>26</v>
      </c>
      <c r="S116" s="2"/>
      <c r="T116" s="36"/>
      <c r="U116" s="5"/>
    </row>
    <row r="117" spans="1:26" s="8" customFormat="1" ht="18.75" customHeight="1" thickBot="1">
      <c r="A117" s="15">
        <f>RANK(O117,O$5:O$197)</f>
        <v>108</v>
      </c>
      <c r="B117" s="23" t="s">
        <v>490</v>
      </c>
      <c r="C117" s="17">
        <f>COUNT(D117:M117)</f>
        <v>1</v>
      </c>
      <c r="D117" s="116" t="str">
        <f>IFERROR(VLOOKUP($B117,'NCA Players Doubles'!$Z:$AB,3,FALSE),IFERROR(VLOOKUP($B117,'NCA Players Doubles'!$AA:$AB,2,FALSE),""))</f>
        <v/>
      </c>
      <c r="E117" s="4" t="str">
        <f>IFERROR(VLOOKUP($B117,'NCA Players Singles'!$V:$W,2,FALSE),"")</f>
        <v/>
      </c>
      <c r="F117" s="24" t="str">
        <f>IFERROR(VLOOKUP($B117,Belleville!$U:$V,2,FALSE),"")</f>
        <v/>
      </c>
      <c r="G117" s="187" t="str">
        <f>IFERROR(VLOOKUP($B117,'Owen Sound'!$Z:$AA,2,FALSE),"")</f>
        <v/>
      </c>
      <c r="H117" s="187" t="str">
        <f>IFERROR(VLOOKUP($B117,ODCC!O:P,2,FALSE),"")</f>
        <v/>
      </c>
      <c r="I117" s="187" t="str">
        <f>IFERROR(VLOOKUP($B117,Elmira!S:T,2,FALSE),"")</f>
        <v/>
      </c>
      <c r="J117" s="187" t="str">
        <f>IFERROR(VLOOKUP($B117,Chatham!K:L,2,FALSE),"")</f>
        <v/>
      </c>
      <c r="K117" s="187" t="str">
        <f>IFERROR(VLOOKUP($B117,London!AM:AN,2,FALSE),"")</f>
        <v/>
      </c>
      <c r="L117" s="187">
        <f>IFERROR(VLOOKUP($B117,'US Open'!A:B,2,FALSE),"")</f>
        <v>26</v>
      </c>
      <c r="M117" s="25" t="str">
        <f>IFERROR(VLOOKUP($B117,'Ontario Singles'!A:B,2,FALSE),"")</f>
        <v/>
      </c>
      <c r="N117" s="10"/>
      <c r="O117" s="19">
        <f>IFERROR(LARGE(D117:M117,1),0)+IFERROR(LARGE(D117:M117,2),0)+IFERROR(LARGE(D117:M117,3),0)+IFERROR(LARGE(D117:M117,4),0)</f>
        <v>26</v>
      </c>
      <c r="P117" s="20">
        <f>SUM(D117:M117)/C117</f>
        <v>26</v>
      </c>
      <c r="Q117" s="21"/>
    </row>
    <row r="118" spans="1:26" s="8" customFormat="1" ht="18.75" customHeight="1" thickBot="1">
      <c r="A118" s="15">
        <f>RANK(O118,O$5:O$197)</f>
        <v>108</v>
      </c>
      <c r="B118" s="533" t="s">
        <v>531</v>
      </c>
      <c r="C118" s="17">
        <f>COUNT(D118:M118)</f>
        <v>1</v>
      </c>
      <c r="D118" s="116" t="str">
        <f>IFERROR(VLOOKUP($B118,'NCA Players Doubles'!$Z:$AB,3,FALSE),IFERROR(VLOOKUP($B118,'NCA Players Doubles'!$AA:$AB,2,FALSE),""))</f>
        <v/>
      </c>
      <c r="E118" s="4" t="str">
        <f>IFERROR(VLOOKUP($B118,'NCA Players Singles'!$V:$W,2,FALSE),"")</f>
        <v/>
      </c>
      <c r="F118" s="24" t="str">
        <f>IFERROR(VLOOKUP($B118,Belleville!$U:$V,2,FALSE),"")</f>
        <v/>
      </c>
      <c r="G118" s="187" t="str">
        <f>IFERROR(VLOOKUP($B118,'Owen Sound'!$Z:$AA,2,FALSE),"")</f>
        <v/>
      </c>
      <c r="H118" s="187" t="str">
        <f>IFERROR(VLOOKUP($B118,ODCC!O:P,2,FALSE),"")</f>
        <v/>
      </c>
      <c r="I118" s="187" t="str">
        <f>IFERROR(VLOOKUP($B118,Elmira!S:T,2,FALSE),"")</f>
        <v/>
      </c>
      <c r="J118" s="187" t="str">
        <f>IFERROR(VLOOKUP($B118,Chatham!K:L,2,FALSE),"")</f>
        <v/>
      </c>
      <c r="K118" s="187" t="str">
        <f>IFERROR(VLOOKUP($B118,London!AM:AN,2,FALSE),"")</f>
        <v/>
      </c>
      <c r="L118" s="187" t="str">
        <f>IFERROR(VLOOKUP($B118,'US Open'!A:B,2,FALSE),"")</f>
        <v/>
      </c>
      <c r="M118" s="25">
        <f>IFERROR(VLOOKUP($B118,'Ontario Singles'!A:B,2,FALSE),"")</f>
        <v>26</v>
      </c>
      <c r="N118" s="10"/>
      <c r="O118" s="19">
        <f>IFERROR(LARGE(D118:M118,1),0)+IFERROR(LARGE(D118:M118,2),0)+IFERROR(LARGE(D118:M118,3),0)+IFERROR(LARGE(D118:M118,4),0)</f>
        <v>26</v>
      </c>
      <c r="P118" s="20">
        <f>SUM(D118:M118)/C118</f>
        <v>26</v>
      </c>
      <c r="Q118" s="21"/>
      <c r="W118" s="32"/>
      <c r="X118" s="32"/>
      <c r="Y118" s="32"/>
      <c r="Z118" s="22"/>
    </row>
    <row r="119" spans="1:26" s="8" customFormat="1" ht="18.75" customHeight="1" thickBot="1">
      <c r="A119" s="15">
        <f>RANK(O119,O$5:O$197)</f>
        <v>115</v>
      </c>
      <c r="B119" s="23" t="s">
        <v>218</v>
      </c>
      <c r="C119" s="17">
        <f>COUNT(D119:M119)</f>
        <v>1</v>
      </c>
      <c r="D119" s="116" t="str">
        <f>IFERROR(VLOOKUP($B119,'NCA Players Doubles'!$Z:$AB,3,FALSE),IFERROR(VLOOKUP($B119,'NCA Players Doubles'!$AA:$AB,2,FALSE),""))</f>
        <v/>
      </c>
      <c r="E119" s="4" t="str">
        <f>IFERROR(VLOOKUP($B119,'NCA Players Singles'!$V:$W,2,FALSE),"")</f>
        <v/>
      </c>
      <c r="F119" s="33">
        <f>IFERROR(VLOOKUP($B119,Belleville!$U:$V,2,FALSE),"")</f>
        <v>25</v>
      </c>
      <c r="G119" s="187" t="str">
        <f>IFERROR(VLOOKUP($B119,'Owen Sound'!$Z:$AA,2,FALSE),"")</f>
        <v/>
      </c>
      <c r="H119" s="187" t="str">
        <f>IFERROR(VLOOKUP($B119,ODCC!O:P,2,FALSE),"")</f>
        <v/>
      </c>
      <c r="I119" s="187" t="str">
        <f>IFERROR(VLOOKUP($B119,Elmira!S:T,2,FALSE),"")</f>
        <v/>
      </c>
      <c r="J119" s="187" t="str">
        <f>IFERROR(VLOOKUP($B119,Chatham!K:L,2,FALSE),"")</f>
        <v/>
      </c>
      <c r="K119" s="187" t="str">
        <f>IFERROR(VLOOKUP($B119,London!AM:AN,2,FALSE),"")</f>
        <v/>
      </c>
      <c r="L119" s="187" t="str">
        <f>IFERROR(VLOOKUP($B119,'US Open'!A:B,2,FALSE),"")</f>
        <v/>
      </c>
      <c r="M119" s="25" t="str">
        <f>IFERROR(VLOOKUP($B119,'Ontario Singles'!A:B,2,FALSE),"")</f>
        <v/>
      </c>
      <c r="N119" s="10"/>
      <c r="O119" s="19">
        <f>IFERROR(LARGE(D119:M119,1),0)+IFERROR(LARGE(D119:M119,2),0)+IFERROR(LARGE(D119:M119,3),0)+IFERROR(LARGE(D119:M119,4),0)</f>
        <v>25</v>
      </c>
      <c r="P119" s="20">
        <f>SUM(D119:M119)/C119</f>
        <v>25</v>
      </c>
      <c r="Q119" s="21"/>
      <c r="R119" s="2"/>
      <c r="S119" s="2"/>
      <c r="T119" s="22"/>
      <c r="U119" s="5"/>
    </row>
    <row r="120" spans="1:26" s="8" customFormat="1" ht="18.75" customHeight="1" thickBot="1">
      <c r="A120" s="15">
        <f>RANK(O120,O$5:O$197)</f>
        <v>115</v>
      </c>
      <c r="B120" s="23" t="s">
        <v>393</v>
      </c>
      <c r="C120" s="17">
        <f>COUNT(D120:M120)</f>
        <v>1</v>
      </c>
      <c r="D120" s="116" t="str">
        <f>IFERROR(VLOOKUP($B120,'NCA Players Doubles'!$Z:$AB,3,FALSE),IFERROR(VLOOKUP($B120,'NCA Players Doubles'!$AA:$AB,2,FALSE),""))</f>
        <v/>
      </c>
      <c r="E120" s="4" t="str">
        <f>IFERROR(VLOOKUP($B120,'NCA Players Singles'!$V:$W,2,FALSE),"")</f>
        <v/>
      </c>
      <c r="F120" s="26" t="str">
        <f>IFERROR(VLOOKUP($B120,Belleville!$U:$V,2,FALSE),"")</f>
        <v/>
      </c>
      <c r="G120" s="187" t="str">
        <f>IFERROR(VLOOKUP($B120,'Owen Sound'!$Z:$AA,2,FALSE),"")</f>
        <v/>
      </c>
      <c r="H120" s="187" t="str">
        <f>IFERROR(VLOOKUP($B120,ODCC!O:P,2,FALSE),"")</f>
        <v/>
      </c>
      <c r="I120" s="187" t="str">
        <f>IFERROR(VLOOKUP($B120,Elmira!S:T,2,FALSE),"")</f>
        <v/>
      </c>
      <c r="J120" s="187">
        <f>IFERROR(VLOOKUP($B120,Chatham!K:L,2,FALSE),"")</f>
        <v>25</v>
      </c>
      <c r="K120" s="187" t="str">
        <f>IFERROR(VLOOKUP($B120,London!AM:AN,2,FALSE),"")</f>
        <v/>
      </c>
      <c r="L120" s="187" t="str">
        <f>IFERROR(VLOOKUP($B120,'US Open'!A:B,2,FALSE),"")</f>
        <v/>
      </c>
      <c r="M120" s="25" t="str">
        <f>IFERROR(VLOOKUP($B120,'Ontario Singles'!A:B,2,FALSE),"")</f>
        <v/>
      </c>
      <c r="N120" s="10"/>
      <c r="O120" s="19">
        <f>IFERROR(LARGE(D120:M120,1),0)+IFERROR(LARGE(D120:M120,2),0)+IFERROR(LARGE(D120:M120,3),0)+IFERROR(LARGE(D120:M120,4),0)</f>
        <v>25</v>
      </c>
      <c r="P120" s="20">
        <f>SUM(D120:M120)/C120</f>
        <v>25</v>
      </c>
      <c r="S120" s="2"/>
      <c r="T120" s="36"/>
      <c r="U120" s="5"/>
    </row>
    <row r="121" spans="1:26" s="8" customFormat="1" ht="18.75" customHeight="1" thickBot="1">
      <c r="A121" s="15">
        <f>RANK(O121,O$5:O$197)</f>
        <v>115</v>
      </c>
      <c r="B121" s="23" t="s">
        <v>519</v>
      </c>
      <c r="C121" s="17">
        <f>COUNT(D121:M121)</f>
        <v>1</v>
      </c>
      <c r="D121" s="116" t="str">
        <f>IFERROR(VLOOKUP($B121,'NCA Players Doubles'!$Z:$AB,3,FALSE),IFERROR(VLOOKUP($B121,'NCA Players Doubles'!$AA:$AB,2,FALSE),""))</f>
        <v/>
      </c>
      <c r="E121" s="4" t="str">
        <f>IFERROR(VLOOKUP($B121,'NCA Players Singles'!$V:$W,2,FALSE),"")</f>
        <v/>
      </c>
      <c r="F121" s="26" t="str">
        <f>IFERROR(VLOOKUP($B121,Belleville!$U:$V,2,FALSE),"")</f>
        <v/>
      </c>
      <c r="G121" s="187" t="str">
        <f>IFERROR(VLOOKUP($B121,'Owen Sound'!$Z:$AA,2,FALSE),"")</f>
        <v/>
      </c>
      <c r="H121" s="187" t="str">
        <f>IFERROR(VLOOKUP($B121,ODCC!O:P,2,FALSE),"")</f>
        <v/>
      </c>
      <c r="I121" s="187" t="str">
        <f>IFERROR(VLOOKUP($B121,Elmira!S:T,2,FALSE),"")</f>
        <v/>
      </c>
      <c r="J121" s="187" t="str">
        <f>IFERROR(VLOOKUP($B121,Chatham!K:L,2,FALSE),"")</f>
        <v/>
      </c>
      <c r="K121" s="187" t="str">
        <f>IFERROR(VLOOKUP($B121,London!AM:AN,2,FALSE),"")</f>
        <v/>
      </c>
      <c r="L121" s="187">
        <f>IFERROR(VLOOKUP($B121,'US Open'!A:B,2,FALSE),"")</f>
        <v>25</v>
      </c>
      <c r="M121" s="25" t="str">
        <f>IFERROR(VLOOKUP($B121,'Ontario Singles'!A:B,2,FALSE),"")</f>
        <v/>
      </c>
      <c r="N121" s="10"/>
      <c r="O121" s="19">
        <f>IFERROR(LARGE(D121:M121,1),0)+IFERROR(LARGE(D121:M121,2),0)+IFERROR(LARGE(D121:M121,3),0)+IFERROR(LARGE(D121:M121,4),0)</f>
        <v>25</v>
      </c>
      <c r="P121" s="20">
        <f>SUM(D121:M121)/C121</f>
        <v>25</v>
      </c>
      <c r="S121" s="2"/>
      <c r="T121" s="36"/>
      <c r="U121" s="5"/>
    </row>
    <row r="122" spans="1:26" s="8" customFormat="1" ht="18.75" customHeight="1" thickBot="1">
      <c r="A122" s="15">
        <f>RANK(O122,O$5:O$197)</f>
        <v>115</v>
      </c>
      <c r="B122" s="23" t="s">
        <v>491</v>
      </c>
      <c r="C122" s="17">
        <f>COUNT(D122:M122)</f>
        <v>1</v>
      </c>
      <c r="D122" s="116" t="str">
        <f>IFERROR(VLOOKUP($B122,'NCA Players Doubles'!$Z:$AB,3,FALSE),IFERROR(VLOOKUP($B122,'NCA Players Doubles'!$AA:$AB,2,FALSE),""))</f>
        <v/>
      </c>
      <c r="E122" s="4" t="str">
        <f>IFERROR(VLOOKUP($B122,'NCA Players Singles'!$V:$W,2,FALSE),"")</f>
        <v/>
      </c>
      <c r="F122" s="26" t="str">
        <f>IFERROR(VLOOKUP($B122,Belleville!$U:$V,2,FALSE),"")</f>
        <v/>
      </c>
      <c r="G122" s="187" t="str">
        <f>IFERROR(VLOOKUP($B122,'Owen Sound'!$Z:$AA,2,FALSE),"")</f>
        <v/>
      </c>
      <c r="H122" s="187" t="str">
        <f>IFERROR(VLOOKUP($B122,ODCC!O:P,2,FALSE),"")</f>
        <v/>
      </c>
      <c r="I122" s="187" t="str">
        <f>IFERROR(VLOOKUP($B122,Elmira!S:T,2,FALSE),"")</f>
        <v/>
      </c>
      <c r="J122" s="187" t="str">
        <f>IFERROR(VLOOKUP($B122,Chatham!K:L,2,FALSE),"")</f>
        <v/>
      </c>
      <c r="K122" s="187" t="str">
        <f>IFERROR(VLOOKUP($B122,London!AM:AN,2,FALSE),"")</f>
        <v/>
      </c>
      <c r="L122" s="187">
        <f>IFERROR(VLOOKUP($B122,'US Open'!A:B,2,FALSE),"")</f>
        <v>25</v>
      </c>
      <c r="M122" s="25" t="str">
        <f>IFERROR(VLOOKUP($B122,'Ontario Singles'!A:B,2,FALSE),"")</f>
        <v/>
      </c>
      <c r="N122" s="10"/>
      <c r="O122" s="19">
        <f>IFERROR(LARGE(D122:M122,1),0)+IFERROR(LARGE(D122:M122,2),0)+IFERROR(LARGE(D122:M122,3),0)+IFERROR(LARGE(D122:M122,4),0)</f>
        <v>25</v>
      </c>
      <c r="P122" s="20">
        <f>SUM(D122:M122)/C122</f>
        <v>25</v>
      </c>
      <c r="Q122" s="21"/>
    </row>
    <row r="123" spans="1:26" s="8" customFormat="1" ht="18.75" customHeight="1" thickBot="1">
      <c r="A123" s="15">
        <f>RANK(O123,O$5:O$197)</f>
        <v>119</v>
      </c>
      <c r="B123" s="23" t="s">
        <v>235</v>
      </c>
      <c r="C123" s="17">
        <f>COUNT(D123:M123)</f>
        <v>1</v>
      </c>
      <c r="D123" s="116" t="str">
        <f>IFERROR(VLOOKUP($B123,'NCA Players Doubles'!$Z:$AB,3,FALSE),IFERROR(VLOOKUP($B123,'NCA Players Doubles'!$AA:$AB,2,FALSE),""))</f>
        <v/>
      </c>
      <c r="E123" s="4" t="str">
        <f>IFERROR(VLOOKUP($B123,'NCA Players Singles'!$V:$W,2,FALSE),"")</f>
        <v/>
      </c>
      <c r="F123" s="33" t="str">
        <f>IFERROR(VLOOKUP($B123,Belleville!$U:$V,2,FALSE),"")</f>
        <v/>
      </c>
      <c r="G123" s="187">
        <f>IFERROR(VLOOKUP($B123,'Owen Sound'!$Z:$AA,2,FALSE),"")</f>
        <v>24</v>
      </c>
      <c r="H123" s="187" t="str">
        <f>IFERROR(VLOOKUP($B123,ODCC!O:P,2,FALSE),"")</f>
        <v/>
      </c>
      <c r="I123" s="187" t="str">
        <f>IFERROR(VLOOKUP($B123,Elmira!S:T,2,FALSE),"")</f>
        <v/>
      </c>
      <c r="J123" s="187" t="str">
        <f>IFERROR(VLOOKUP($B123,Chatham!K:L,2,FALSE),"")</f>
        <v/>
      </c>
      <c r="K123" s="187" t="str">
        <f>IFERROR(VLOOKUP($B123,London!AM:AN,2,FALSE),"")</f>
        <v/>
      </c>
      <c r="L123" s="187" t="str">
        <f>IFERROR(VLOOKUP($B123,'US Open'!A:B,2,FALSE),"")</f>
        <v/>
      </c>
      <c r="M123" s="25" t="str">
        <f>IFERROR(VLOOKUP($B123,'Ontario Singles'!A:B,2,FALSE),"")</f>
        <v/>
      </c>
      <c r="N123" s="28"/>
      <c r="O123" s="19">
        <f>IFERROR(LARGE(D123:M123,1),0)+IFERROR(LARGE(D123:M123,2),0)+IFERROR(LARGE(D123:M123,3),0)+IFERROR(LARGE(D123:M123,4),0)</f>
        <v>24</v>
      </c>
      <c r="P123" s="20">
        <f>SUM(D123:M123)/C123</f>
        <v>24</v>
      </c>
      <c r="Q123" s="21"/>
      <c r="R123" s="2"/>
      <c r="S123" s="2"/>
      <c r="T123" s="36"/>
      <c r="U123" s="5"/>
    </row>
    <row r="124" spans="1:26" s="8" customFormat="1" ht="18.75" customHeight="1" thickBot="1">
      <c r="A124" s="15">
        <f>RANK(O124,O$5:O$197)</f>
        <v>119</v>
      </c>
      <c r="B124" s="23" t="s">
        <v>127</v>
      </c>
      <c r="C124" s="17">
        <f>COUNT(D124:M124)</f>
        <v>1</v>
      </c>
      <c r="D124" s="116">
        <f>IFERROR(VLOOKUP($B124,'NCA Players Doubles'!$Z:$AB,3,FALSE),IFERROR(VLOOKUP($B124,'NCA Players Doubles'!$AA:$AB,2,FALSE),""))</f>
        <v>24</v>
      </c>
      <c r="E124" s="4" t="str">
        <f>IFERROR(VLOOKUP($B124,'NCA Players Singles'!$V:$W,2,FALSE),"")</f>
        <v/>
      </c>
      <c r="F124" s="24" t="str">
        <f>IFERROR(VLOOKUP($B124,Belleville!$U:$V,2,FALSE),"")</f>
        <v/>
      </c>
      <c r="G124" s="187" t="str">
        <f>IFERROR(VLOOKUP($B124,'Owen Sound'!$Z:$AA,2,FALSE),"")</f>
        <v/>
      </c>
      <c r="H124" s="187" t="str">
        <f>IFERROR(VLOOKUP($B124,ODCC!O:P,2,FALSE),"")</f>
        <v/>
      </c>
      <c r="I124" s="187" t="str">
        <f>IFERROR(VLOOKUP($B124,Elmira!S:T,2,FALSE),"")</f>
        <v/>
      </c>
      <c r="J124" s="187" t="str">
        <f>IFERROR(VLOOKUP($B124,Chatham!K:L,2,FALSE),"")</f>
        <v/>
      </c>
      <c r="K124" s="187" t="str">
        <f>IFERROR(VLOOKUP($B124,London!AM:AN,2,FALSE),"")</f>
        <v/>
      </c>
      <c r="L124" s="187" t="str">
        <f>IFERROR(VLOOKUP($B124,'US Open'!A:B,2,FALSE),"")</f>
        <v/>
      </c>
      <c r="M124" s="25" t="str">
        <f>IFERROR(VLOOKUP($B124,'Ontario Singles'!A:B,2,FALSE),"")</f>
        <v/>
      </c>
      <c r="N124" s="10"/>
      <c r="O124" s="19">
        <f>IFERROR(LARGE(D124:M124,1),0)+IFERROR(LARGE(D124:M124,2),0)+IFERROR(LARGE(D124:M124,3),0)+IFERROR(LARGE(D124:M124,4),0)</f>
        <v>24</v>
      </c>
      <c r="P124" s="20">
        <f>SUM(D124:M124)/C124</f>
        <v>24</v>
      </c>
      <c r="Q124" s="21"/>
      <c r="T124" s="36"/>
      <c r="U124" s="10"/>
      <c r="V124" s="36"/>
      <c r="W124" s="10"/>
    </row>
    <row r="125" spans="1:26" s="8" customFormat="1" ht="18.75" customHeight="1" thickBot="1">
      <c r="A125" s="15">
        <f>RANK(O125,O$5:O$197)</f>
        <v>119</v>
      </c>
      <c r="B125" s="23" t="s">
        <v>222</v>
      </c>
      <c r="C125" s="17">
        <f>COUNT(D125:M125)</f>
        <v>1</v>
      </c>
      <c r="D125" s="116" t="str">
        <f>IFERROR(VLOOKUP($B125,'NCA Players Doubles'!$Z:$AB,3,FALSE),IFERROR(VLOOKUP($B125,'NCA Players Doubles'!$AA:$AB,2,FALSE),""))</f>
        <v/>
      </c>
      <c r="E125" s="4" t="str">
        <f>IFERROR(VLOOKUP($B125,'NCA Players Singles'!$V:$W,2,FALSE),"")</f>
        <v/>
      </c>
      <c r="F125" s="24">
        <f>IFERROR(VLOOKUP($B125,Belleville!$U:$V,2,FALSE),"")</f>
        <v>24</v>
      </c>
      <c r="G125" s="187" t="str">
        <f>IFERROR(VLOOKUP($B125,'Owen Sound'!$Z:$AA,2,FALSE),"")</f>
        <v/>
      </c>
      <c r="H125" s="187" t="str">
        <f>IFERROR(VLOOKUP($B125,ODCC!O:P,2,FALSE),"")</f>
        <v/>
      </c>
      <c r="I125" s="187" t="str">
        <f>IFERROR(VLOOKUP($B125,Elmira!S:T,2,FALSE),"")</f>
        <v/>
      </c>
      <c r="J125" s="187" t="str">
        <f>IFERROR(VLOOKUP($B125,Chatham!K:L,2,FALSE),"")</f>
        <v/>
      </c>
      <c r="K125" s="187" t="str">
        <f>IFERROR(VLOOKUP($B125,London!AM:AN,2,FALSE),"")</f>
        <v/>
      </c>
      <c r="L125" s="187" t="str">
        <f>IFERROR(VLOOKUP($B125,'US Open'!A:B,2,FALSE),"")</f>
        <v/>
      </c>
      <c r="M125" s="25" t="str">
        <f>IFERROR(VLOOKUP($B125,'Ontario Singles'!A:B,2,FALSE),"")</f>
        <v/>
      </c>
      <c r="N125" s="10"/>
      <c r="O125" s="19">
        <f>IFERROR(LARGE(D125:M125,1),0)+IFERROR(LARGE(D125:M125,2),0)+IFERROR(LARGE(D125:M125,3),0)+IFERROR(LARGE(D125:M125,4),0)</f>
        <v>24</v>
      </c>
      <c r="P125" s="20">
        <f>SUM(D125:M125)/C125</f>
        <v>24</v>
      </c>
      <c r="Q125" s="21"/>
      <c r="R125" s="2"/>
      <c r="S125" s="2"/>
      <c r="T125" s="22"/>
      <c r="U125" s="5"/>
      <c r="W125" s="32"/>
      <c r="X125" s="32"/>
      <c r="Y125" s="32"/>
      <c r="Z125" s="22"/>
    </row>
    <row r="126" spans="1:26" s="8" customFormat="1" ht="18.75" customHeight="1" thickBot="1">
      <c r="A126" s="15">
        <f>RANK(O126,O$5:O$197)</f>
        <v>119</v>
      </c>
      <c r="B126" s="23" t="s">
        <v>520</v>
      </c>
      <c r="C126" s="17">
        <f>COUNT(D126:M126)</f>
        <v>1</v>
      </c>
      <c r="D126" s="116" t="str">
        <f>IFERROR(VLOOKUP($B126,'NCA Players Doubles'!$Z:$AB,3,FALSE),IFERROR(VLOOKUP($B126,'NCA Players Doubles'!$AA:$AB,2,FALSE),""))</f>
        <v/>
      </c>
      <c r="E126" s="4" t="str">
        <f>IFERROR(VLOOKUP($B126,'NCA Players Singles'!$V:$W,2,FALSE),"")</f>
        <v/>
      </c>
      <c r="F126" s="33" t="str">
        <f>IFERROR(VLOOKUP($B126,Belleville!$U:$V,2,FALSE),"")</f>
        <v/>
      </c>
      <c r="G126" s="187" t="str">
        <f>IFERROR(VLOOKUP($B126,'Owen Sound'!$Z:$AA,2,FALSE),"")</f>
        <v/>
      </c>
      <c r="H126" s="187" t="str">
        <f>IFERROR(VLOOKUP($B126,ODCC!O:P,2,FALSE),"")</f>
        <v/>
      </c>
      <c r="I126" s="187" t="str">
        <f>IFERROR(VLOOKUP($B126,Elmira!S:T,2,FALSE),"")</f>
        <v/>
      </c>
      <c r="J126" s="187" t="str">
        <f>IFERROR(VLOOKUP($B126,Chatham!K:L,2,FALSE),"")</f>
        <v/>
      </c>
      <c r="K126" s="187" t="str">
        <f>IFERROR(VLOOKUP($B126,London!AM:AN,2,FALSE),"")</f>
        <v/>
      </c>
      <c r="L126" s="187">
        <f>IFERROR(VLOOKUP($B126,'US Open'!A:B,2,FALSE),"")</f>
        <v>24</v>
      </c>
      <c r="M126" s="25" t="str">
        <f>IFERROR(VLOOKUP($B126,'Ontario Singles'!A:B,2,FALSE),"")</f>
        <v/>
      </c>
      <c r="N126" s="10"/>
      <c r="O126" s="19">
        <f>IFERROR(LARGE(D126:M126,1),0)+IFERROR(LARGE(D126:M126,2),0)+IFERROR(LARGE(D126:M126,3),0)+IFERROR(LARGE(D126:M126,4),0)</f>
        <v>24</v>
      </c>
      <c r="P126" s="20">
        <f>SUM(D126:M126)/C126</f>
        <v>24</v>
      </c>
      <c r="S126" s="2"/>
      <c r="T126" s="36"/>
      <c r="U126" s="5"/>
    </row>
    <row r="127" spans="1:26" s="8" customFormat="1" ht="18.75" customHeight="1" thickBot="1">
      <c r="A127" s="15">
        <f>RANK(O127,O$5:O$197)</f>
        <v>119</v>
      </c>
      <c r="B127" s="23" t="s">
        <v>492</v>
      </c>
      <c r="C127" s="17">
        <f>COUNT(D127:M127)</f>
        <v>1</v>
      </c>
      <c r="D127" s="116" t="str">
        <f>IFERROR(VLOOKUP($B127,'NCA Players Doubles'!$Z:$AB,3,FALSE),IFERROR(VLOOKUP($B127,'NCA Players Doubles'!$AA:$AB,2,FALSE),""))</f>
        <v/>
      </c>
      <c r="E127" s="4" t="str">
        <f>IFERROR(VLOOKUP($B127,'NCA Players Singles'!$V:$W,2,FALSE),"")</f>
        <v/>
      </c>
      <c r="F127" s="33" t="str">
        <f>IFERROR(VLOOKUP($B127,Belleville!$U:$V,2,FALSE),"")</f>
        <v/>
      </c>
      <c r="G127" s="187" t="str">
        <f>IFERROR(VLOOKUP($B127,'Owen Sound'!$Z:$AA,2,FALSE),"")</f>
        <v/>
      </c>
      <c r="H127" s="187" t="str">
        <f>IFERROR(VLOOKUP($B127,ODCC!O:P,2,FALSE),"")</f>
        <v/>
      </c>
      <c r="I127" s="187" t="str">
        <f>IFERROR(VLOOKUP($B127,Elmira!S:T,2,FALSE),"")</f>
        <v/>
      </c>
      <c r="J127" s="187" t="str">
        <f>IFERROR(VLOOKUP($B127,Chatham!K:L,2,FALSE),"")</f>
        <v/>
      </c>
      <c r="K127" s="187" t="str">
        <f>IFERROR(VLOOKUP($B127,London!AM:AN,2,FALSE),"")</f>
        <v/>
      </c>
      <c r="L127" s="187">
        <f>IFERROR(VLOOKUP($B127,'US Open'!A:B,2,FALSE),"")</f>
        <v>24</v>
      </c>
      <c r="M127" s="25" t="str">
        <f>IFERROR(VLOOKUP($B127,'Ontario Singles'!A:B,2,FALSE),"")</f>
        <v/>
      </c>
      <c r="N127" s="10"/>
      <c r="O127" s="19">
        <f>IFERROR(LARGE(D127:M127,1),0)+IFERROR(LARGE(D127:M127,2),0)+IFERROR(LARGE(D127:M127,3),0)+IFERROR(LARGE(D127:M127,4),0)</f>
        <v>24</v>
      </c>
      <c r="P127" s="20">
        <f>SUM(D127:M127)/C127</f>
        <v>24</v>
      </c>
    </row>
    <row r="128" spans="1:26" s="8" customFormat="1" ht="18.75" customHeight="1" thickBot="1">
      <c r="A128" s="15">
        <f>RANK(O128,O$5:O$197)</f>
        <v>119</v>
      </c>
      <c r="B128" s="532" t="s">
        <v>532</v>
      </c>
      <c r="C128" s="17">
        <f>COUNT(D128:M128)</f>
        <v>1</v>
      </c>
      <c r="D128" s="116" t="str">
        <f>IFERROR(VLOOKUP($B128,'NCA Players Doubles'!$Z:$AB,3,FALSE),IFERROR(VLOOKUP($B128,'NCA Players Doubles'!$AA:$AB,2,FALSE),""))</f>
        <v/>
      </c>
      <c r="E128" s="4" t="str">
        <f>IFERROR(VLOOKUP($B128,'NCA Players Singles'!$V:$W,2,FALSE),"")</f>
        <v/>
      </c>
      <c r="F128" s="24" t="str">
        <f>IFERROR(VLOOKUP($B128,Belleville!$U:$V,2,FALSE),"")</f>
        <v/>
      </c>
      <c r="G128" s="187" t="str">
        <f>IFERROR(VLOOKUP($B128,'Owen Sound'!$Z:$AA,2,FALSE),"")</f>
        <v/>
      </c>
      <c r="H128" s="187" t="str">
        <f>IFERROR(VLOOKUP($B128,ODCC!O:P,2,FALSE),"")</f>
        <v/>
      </c>
      <c r="I128" s="187" t="str">
        <f>IFERROR(VLOOKUP($B128,Elmira!S:T,2,FALSE),"")</f>
        <v/>
      </c>
      <c r="J128" s="187" t="str">
        <f>IFERROR(VLOOKUP($B128,Chatham!K:L,2,FALSE),"")</f>
        <v/>
      </c>
      <c r="K128" s="187" t="str">
        <f>IFERROR(VLOOKUP($B128,London!AM:AN,2,FALSE),"")</f>
        <v/>
      </c>
      <c r="L128" s="187" t="str">
        <f>IFERROR(VLOOKUP($B128,'US Open'!A:B,2,FALSE),"")</f>
        <v/>
      </c>
      <c r="M128" s="25">
        <f>IFERROR(VLOOKUP($B128,'Ontario Singles'!A:B,2,FALSE),"")</f>
        <v>24</v>
      </c>
      <c r="N128" s="10"/>
      <c r="O128" s="19">
        <f>IFERROR(LARGE(D128:M128,1),0)+IFERROR(LARGE(D128:M128,2),0)+IFERROR(LARGE(D128:M128,3),0)+IFERROR(LARGE(D128:M128,4),0)</f>
        <v>24</v>
      </c>
      <c r="P128" s="20">
        <f>SUM(D128:M128)/C128</f>
        <v>24</v>
      </c>
      <c r="R128" s="5"/>
    </row>
    <row r="129" spans="1:26" s="8" customFormat="1" ht="18.75" customHeight="1" thickBot="1">
      <c r="A129" s="15">
        <f>RANK(O129,O$5:O$197)</f>
        <v>125</v>
      </c>
      <c r="B129" s="23" t="s">
        <v>234</v>
      </c>
      <c r="C129" s="17">
        <f>COUNT(D129:M129)</f>
        <v>1</v>
      </c>
      <c r="D129" s="116" t="str">
        <f>IFERROR(VLOOKUP($B129,'NCA Players Doubles'!$Z:$AB,3,FALSE),IFERROR(VLOOKUP($B129,'NCA Players Doubles'!$AA:$AB,2,FALSE),""))</f>
        <v/>
      </c>
      <c r="E129" s="4" t="str">
        <f>IFERROR(VLOOKUP($B129,'NCA Players Singles'!$V:$W,2,FALSE),"")</f>
        <v/>
      </c>
      <c r="F129" s="33" t="str">
        <f>IFERROR(VLOOKUP($B129,Belleville!$U:$V,2,FALSE),"")</f>
        <v/>
      </c>
      <c r="G129" s="187">
        <f>IFERROR(VLOOKUP($B129,'Owen Sound'!$Z:$AA,2,FALSE),"")</f>
        <v>23</v>
      </c>
      <c r="H129" s="187" t="str">
        <f>IFERROR(VLOOKUP($B129,ODCC!O:P,2,FALSE),"")</f>
        <v/>
      </c>
      <c r="I129" s="187" t="str">
        <f>IFERROR(VLOOKUP($B129,Elmira!S:T,2,FALSE),"")</f>
        <v/>
      </c>
      <c r="J129" s="187" t="str">
        <f>IFERROR(VLOOKUP($B129,Chatham!K:L,2,FALSE),"")</f>
        <v/>
      </c>
      <c r="K129" s="187" t="str">
        <f>IFERROR(VLOOKUP($B129,London!AM:AN,2,FALSE),"")</f>
        <v/>
      </c>
      <c r="L129" s="187" t="str">
        <f>IFERROR(VLOOKUP($B129,'US Open'!A:B,2,FALSE),"")</f>
        <v/>
      </c>
      <c r="M129" s="25" t="str">
        <f>IFERROR(VLOOKUP($B129,'Ontario Singles'!A:B,2,FALSE),"")</f>
        <v/>
      </c>
      <c r="N129" s="10"/>
      <c r="O129" s="19">
        <f>IFERROR(LARGE(D129:M129,1),0)+IFERROR(LARGE(D129:M129,2),0)+IFERROR(LARGE(D129:M129,3),0)+IFERROR(LARGE(D129:M129,4),0)</f>
        <v>23</v>
      </c>
      <c r="P129" s="20">
        <f>SUM(D129:M129)/C129</f>
        <v>23</v>
      </c>
      <c r="Q129" s="21"/>
      <c r="R129" s="2"/>
      <c r="S129" s="2"/>
      <c r="T129" s="36"/>
      <c r="U129" s="5"/>
      <c r="W129" s="32"/>
      <c r="X129" s="32"/>
      <c r="Y129" s="32"/>
      <c r="Z129" s="22"/>
    </row>
    <row r="130" spans="1:26" s="8" customFormat="1" ht="18.75" customHeight="1" thickBot="1">
      <c r="A130" s="15">
        <f>RANK(O130,O$5:O$197)</f>
        <v>125</v>
      </c>
      <c r="B130" s="23" t="s">
        <v>238</v>
      </c>
      <c r="C130" s="17">
        <f>COUNT(D130:M130)</f>
        <v>1</v>
      </c>
      <c r="D130" s="116" t="str">
        <f>IFERROR(VLOOKUP($B130,'NCA Players Doubles'!$Z:$AB,3,FALSE),IFERROR(VLOOKUP($B130,'NCA Players Doubles'!$AA:$AB,2,FALSE),""))</f>
        <v/>
      </c>
      <c r="E130" s="4" t="str">
        <f>IFERROR(VLOOKUP($B130,'NCA Players Singles'!$V:$W,2,FALSE),"")</f>
        <v/>
      </c>
      <c r="F130" s="31" t="str">
        <f>IFERROR(VLOOKUP($B130,Belleville!$U:$V,2,FALSE),"")</f>
        <v/>
      </c>
      <c r="G130" s="187">
        <f>IFERROR(VLOOKUP($B130,'Owen Sound'!$Z:$AA,2,FALSE),"")</f>
        <v>23</v>
      </c>
      <c r="H130" s="187" t="str">
        <f>IFERROR(VLOOKUP($B130,ODCC!O:P,2,FALSE),"")</f>
        <v/>
      </c>
      <c r="I130" s="187" t="str">
        <f>IFERROR(VLOOKUP($B130,Elmira!S:T,2,FALSE),"")</f>
        <v/>
      </c>
      <c r="J130" s="187" t="str">
        <f>IFERROR(VLOOKUP($B130,Chatham!K:L,2,FALSE),"")</f>
        <v/>
      </c>
      <c r="K130" s="187" t="str">
        <f>IFERROR(VLOOKUP($B130,London!AM:AN,2,FALSE),"")</f>
        <v/>
      </c>
      <c r="L130" s="187" t="str">
        <f>IFERROR(VLOOKUP($B130,'US Open'!A:B,2,FALSE),"")</f>
        <v/>
      </c>
      <c r="M130" s="25" t="str">
        <f>IFERROR(VLOOKUP($B130,'Ontario Singles'!A:B,2,FALSE),"")</f>
        <v/>
      </c>
      <c r="N130" s="10"/>
      <c r="O130" s="19">
        <f>IFERROR(LARGE(D130:M130,1),0)+IFERROR(LARGE(D130:M130,2),0)+IFERROR(LARGE(D130:M130,3),0)+IFERROR(LARGE(D130:M130,4),0)</f>
        <v>23</v>
      </c>
      <c r="P130" s="20">
        <f>SUM(D130:M130)/C130</f>
        <v>23</v>
      </c>
      <c r="Q130" s="21"/>
      <c r="R130" s="2"/>
      <c r="S130" s="2"/>
      <c r="T130" s="36"/>
      <c r="U130" s="5"/>
      <c r="W130" s="32"/>
      <c r="X130" s="32"/>
      <c r="Y130" s="32"/>
      <c r="Z130" s="22"/>
    </row>
    <row r="131" spans="1:26" s="8" customFormat="1" ht="18.75" customHeight="1" thickBot="1">
      <c r="A131" s="15">
        <f>RANK(O131,O$5:O$197)</f>
        <v>125</v>
      </c>
      <c r="B131" s="23" t="s">
        <v>521</v>
      </c>
      <c r="C131" s="17">
        <f>COUNT(D131:M131)</f>
        <v>1</v>
      </c>
      <c r="D131" s="116" t="str">
        <f>IFERROR(VLOOKUP($B131,'NCA Players Doubles'!$Z:$AB,3,FALSE),IFERROR(VLOOKUP($B131,'NCA Players Doubles'!$AA:$AB,2,FALSE),""))</f>
        <v/>
      </c>
      <c r="E131" s="4" t="str">
        <f>IFERROR(VLOOKUP($B131,'NCA Players Singles'!$V:$W,2,FALSE),"")</f>
        <v/>
      </c>
      <c r="F131" s="18" t="str">
        <f>IFERROR(VLOOKUP($B131,Belleville!$U:$V,2,FALSE),"")</f>
        <v/>
      </c>
      <c r="G131" s="187" t="str">
        <f>IFERROR(VLOOKUP($B131,'Owen Sound'!$Z:$AA,2,FALSE),"")</f>
        <v/>
      </c>
      <c r="H131" s="187" t="str">
        <f>IFERROR(VLOOKUP($B131,ODCC!O:P,2,FALSE),"")</f>
        <v/>
      </c>
      <c r="I131" s="187" t="str">
        <f>IFERROR(VLOOKUP($B131,Elmira!S:T,2,FALSE),"")</f>
        <v/>
      </c>
      <c r="J131" s="187" t="str">
        <f>IFERROR(VLOOKUP($B131,Chatham!K:L,2,FALSE),"")</f>
        <v/>
      </c>
      <c r="K131" s="187" t="str">
        <f>IFERROR(VLOOKUP($B131,London!AM:AN,2,FALSE),"")</f>
        <v/>
      </c>
      <c r="L131" s="187">
        <f>IFERROR(VLOOKUP($B131,'US Open'!A:B,2,FALSE),"")</f>
        <v>23</v>
      </c>
      <c r="M131" s="25" t="str">
        <f>IFERROR(VLOOKUP($B131,'Ontario Singles'!A:B,2,FALSE),"")</f>
        <v/>
      </c>
      <c r="N131" s="10"/>
      <c r="O131" s="19">
        <f>IFERROR(LARGE(D131:M131,1),0)+IFERROR(LARGE(D131:M131,2),0)+IFERROR(LARGE(D131:M131,3),0)+IFERROR(LARGE(D131:M131,4),0)</f>
        <v>23</v>
      </c>
      <c r="P131" s="20">
        <f>SUM(D131:M131)/C131</f>
        <v>23</v>
      </c>
      <c r="S131" s="2"/>
      <c r="T131" s="36"/>
      <c r="U131" s="5"/>
    </row>
    <row r="132" spans="1:26" s="8" customFormat="1" ht="18.75" customHeight="1" thickBot="1">
      <c r="A132" s="15">
        <f>RANK(O132,O$5:O$197)</f>
        <v>125</v>
      </c>
      <c r="B132" s="23" t="s">
        <v>493</v>
      </c>
      <c r="C132" s="17">
        <f>COUNT(D132:M132)</f>
        <v>1</v>
      </c>
      <c r="D132" s="116" t="str">
        <f>IFERROR(VLOOKUP($B132,'NCA Players Doubles'!$Z:$AB,3,FALSE),IFERROR(VLOOKUP($B132,'NCA Players Doubles'!$AA:$AB,2,FALSE),""))</f>
        <v/>
      </c>
      <c r="E132" s="4" t="str">
        <f>IFERROR(VLOOKUP($B132,'NCA Players Singles'!$V:$W,2,FALSE),"")</f>
        <v/>
      </c>
      <c r="F132" s="31" t="str">
        <f>IFERROR(VLOOKUP($B132,Belleville!$U:$V,2,FALSE),"")</f>
        <v/>
      </c>
      <c r="G132" s="187" t="str">
        <f>IFERROR(VLOOKUP($B132,'Owen Sound'!$Z:$AA,2,FALSE),"")</f>
        <v/>
      </c>
      <c r="H132" s="187" t="str">
        <f>IFERROR(VLOOKUP($B132,ODCC!O:P,2,FALSE),"")</f>
        <v/>
      </c>
      <c r="I132" s="187" t="str">
        <f>IFERROR(VLOOKUP($B132,Elmira!S:T,2,FALSE),"")</f>
        <v/>
      </c>
      <c r="J132" s="187" t="str">
        <f>IFERROR(VLOOKUP($B132,Chatham!K:L,2,FALSE),"")</f>
        <v/>
      </c>
      <c r="K132" s="187" t="str">
        <f>IFERROR(VLOOKUP($B132,London!AM:AN,2,FALSE),"")</f>
        <v/>
      </c>
      <c r="L132" s="187">
        <f>IFERROR(VLOOKUP($B132,'US Open'!A:B,2,FALSE),"")</f>
        <v>23</v>
      </c>
      <c r="M132" s="25" t="str">
        <f>IFERROR(VLOOKUP($B132,'Ontario Singles'!A:B,2,FALSE),"")</f>
        <v/>
      </c>
      <c r="N132" s="10"/>
      <c r="O132" s="19">
        <f>IFERROR(LARGE(D132:M132,1),0)+IFERROR(LARGE(D132:M132,2),0)+IFERROR(LARGE(D132:M132,3),0)+IFERROR(LARGE(D132:M132,4),0)</f>
        <v>23</v>
      </c>
      <c r="P132" s="20">
        <f>SUM(D132:M132)/C132</f>
        <v>23</v>
      </c>
    </row>
    <row r="133" spans="1:26" s="8" customFormat="1" ht="18.75" customHeight="1" thickBot="1">
      <c r="A133" s="15">
        <f>RANK(O133,O$5:O$197)</f>
        <v>129</v>
      </c>
      <c r="B133" s="23" t="s">
        <v>207</v>
      </c>
      <c r="C133" s="17">
        <f>COUNT(D133:M133)</f>
        <v>1</v>
      </c>
      <c r="D133" s="116" t="str">
        <f>IFERROR(VLOOKUP($B133,'NCA Players Doubles'!$Z:$AB,3,FALSE),IFERROR(VLOOKUP($B133,'NCA Players Doubles'!$AA:$AB,2,FALSE),""))</f>
        <v/>
      </c>
      <c r="E133" s="4" t="str">
        <f>IFERROR(VLOOKUP($B133,'NCA Players Singles'!$V:$W,2,FALSE),"")</f>
        <v/>
      </c>
      <c r="F133" s="33">
        <f>IFERROR(VLOOKUP($B133,Belleville!$U:$V,2,FALSE),"")</f>
        <v>22</v>
      </c>
      <c r="G133" s="187" t="str">
        <f>IFERROR(VLOOKUP($B133,'Owen Sound'!$Z:$AA,2,FALSE),"")</f>
        <v/>
      </c>
      <c r="H133" s="187" t="str">
        <f>IFERROR(VLOOKUP($B133,ODCC!O:P,2,FALSE),"")</f>
        <v/>
      </c>
      <c r="I133" s="187" t="str">
        <f>IFERROR(VLOOKUP($B133,Elmira!S:T,2,FALSE),"")</f>
        <v/>
      </c>
      <c r="J133" s="187" t="str">
        <f>IFERROR(VLOOKUP($B133,Chatham!K:L,2,FALSE),"")</f>
        <v/>
      </c>
      <c r="K133" s="187" t="str">
        <f>IFERROR(VLOOKUP($B133,London!AM:AN,2,FALSE),"")</f>
        <v/>
      </c>
      <c r="L133" s="187" t="str">
        <f>IFERROR(VLOOKUP($B133,'US Open'!A:B,2,FALSE),"")</f>
        <v/>
      </c>
      <c r="M133" s="25" t="str">
        <f>IFERROR(VLOOKUP($B133,'Ontario Singles'!A:B,2,FALSE),"")</f>
        <v/>
      </c>
      <c r="N133" s="10"/>
      <c r="O133" s="19">
        <f>IFERROR(LARGE(D133:M133,1),0)+IFERROR(LARGE(D133:M133,2),0)+IFERROR(LARGE(D133:M133,3),0)+IFERROR(LARGE(D133:M133,4),0)</f>
        <v>22</v>
      </c>
      <c r="P133" s="20">
        <f>SUM(D133:M133)/C133</f>
        <v>22</v>
      </c>
      <c r="Q133" s="21"/>
      <c r="R133" s="2"/>
      <c r="S133" s="2"/>
      <c r="T133" s="22"/>
      <c r="U133" s="5"/>
      <c r="W133" s="32"/>
      <c r="X133" s="32"/>
      <c r="Y133" s="32"/>
      <c r="Z133" s="27"/>
    </row>
    <row r="134" spans="1:26" s="8" customFormat="1" ht="18.75" customHeight="1" thickBot="1">
      <c r="A134" s="15">
        <f>RANK(O134,O$5:O$197)</f>
        <v>129</v>
      </c>
      <c r="B134" s="23" t="s">
        <v>522</v>
      </c>
      <c r="C134" s="17">
        <f>COUNT(D134:M134)</f>
        <v>1</v>
      </c>
      <c r="D134" s="116" t="str">
        <f>IFERROR(VLOOKUP($B134,'NCA Players Doubles'!$Z:$AB,3,FALSE),IFERROR(VLOOKUP($B134,'NCA Players Doubles'!$AA:$AB,2,FALSE),""))</f>
        <v/>
      </c>
      <c r="E134" s="4" t="str">
        <f>IFERROR(VLOOKUP($B134,'NCA Players Singles'!$V:$W,2,FALSE),"")</f>
        <v/>
      </c>
      <c r="F134" s="24" t="str">
        <f>IFERROR(VLOOKUP($B134,Belleville!$U:$V,2,FALSE),"")</f>
        <v/>
      </c>
      <c r="G134" s="187" t="str">
        <f>IFERROR(VLOOKUP($B134,'Owen Sound'!$Z:$AA,2,FALSE),"")</f>
        <v/>
      </c>
      <c r="H134" s="187" t="str">
        <f>IFERROR(VLOOKUP($B134,ODCC!O:P,2,FALSE),"")</f>
        <v/>
      </c>
      <c r="I134" s="187" t="str">
        <f>IFERROR(VLOOKUP($B134,Elmira!S:T,2,FALSE),"")</f>
        <v/>
      </c>
      <c r="J134" s="187" t="str">
        <f>IFERROR(VLOOKUP($B134,Chatham!K:L,2,FALSE),"")</f>
        <v/>
      </c>
      <c r="K134" s="187" t="str">
        <f>IFERROR(VLOOKUP($B134,London!AM:AN,2,FALSE),"")</f>
        <v/>
      </c>
      <c r="L134" s="187">
        <f>IFERROR(VLOOKUP($B134,'US Open'!A:B,2,FALSE),"")</f>
        <v>22</v>
      </c>
      <c r="M134" s="25" t="str">
        <f>IFERROR(VLOOKUP($B134,'Ontario Singles'!A:B,2,FALSE),"")</f>
        <v/>
      </c>
      <c r="N134" s="10"/>
      <c r="O134" s="19">
        <f>IFERROR(LARGE(D134:M134,1),0)+IFERROR(LARGE(D134:M134,2),0)+IFERROR(LARGE(D134:M134,3),0)+IFERROR(LARGE(D134:M134,4),0)</f>
        <v>22</v>
      </c>
      <c r="P134" s="20">
        <f>SUM(D134:M134)/C134</f>
        <v>22</v>
      </c>
      <c r="S134" s="2"/>
      <c r="T134" s="36"/>
      <c r="U134" s="5"/>
    </row>
    <row r="135" spans="1:26" s="8" customFormat="1" ht="18.75" customHeight="1" thickBot="1">
      <c r="A135" s="15">
        <f>RANK(O135,O$5:O$197)</f>
        <v>129</v>
      </c>
      <c r="B135" s="23" t="s">
        <v>494</v>
      </c>
      <c r="C135" s="17">
        <f>COUNT(D135:M135)</f>
        <v>1</v>
      </c>
      <c r="D135" s="116" t="str">
        <f>IFERROR(VLOOKUP($B135,'NCA Players Doubles'!$Z:$AB,3,FALSE),IFERROR(VLOOKUP($B135,'NCA Players Doubles'!$AA:$AB,2,FALSE),""))</f>
        <v/>
      </c>
      <c r="E135" s="4" t="str">
        <f>IFERROR(VLOOKUP($B135,'NCA Players Singles'!$V:$W,2,FALSE),"")</f>
        <v/>
      </c>
      <c r="F135" s="24" t="str">
        <f>IFERROR(VLOOKUP($B135,Belleville!$U:$V,2,FALSE),"")</f>
        <v/>
      </c>
      <c r="G135" s="187" t="str">
        <f>IFERROR(VLOOKUP($B135,'Owen Sound'!$Z:$AA,2,FALSE),"")</f>
        <v/>
      </c>
      <c r="H135" s="187" t="str">
        <f>IFERROR(VLOOKUP($B135,ODCC!O:P,2,FALSE),"")</f>
        <v/>
      </c>
      <c r="I135" s="187" t="str">
        <f>IFERROR(VLOOKUP($B135,Elmira!S:T,2,FALSE),"")</f>
        <v/>
      </c>
      <c r="J135" s="187" t="str">
        <f>IFERROR(VLOOKUP($B135,Chatham!K:L,2,FALSE),"")</f>
        <v/>
      </c>
      <c r="K135" s="187" t="str">
        <f>IFERROR(VLOOKUP($B135,London!AM:AN,2,FALSE),"")</f>
        <v/>
      </c>
      <c r="L135" s="187">
        <f>IFERROR(VLOOKUP($B135,'US Open'!A:B,2,FALSE),"")</f>
        <v>22</v>
      </c>
      <c r="M135" s="25" t="str">
        <f>IFERROR(VLOOKUP($B135,'Ontario Singles'!A:B,2,FALSE),"")</f>
        <v/>
      </c>
      <c r="N135" s="10"/>
      <c r="O135" s="19">
        <f>IFERROR(LARGE(D135:M135,1),0)+IFERROR(LARGE(D135:M135,2),0)+IFERROR(LARGE(D135:M135,3),0)+IFERROR(LARGE(D135:M135,4),0)</f>
        <v>22</v>
      </c>
      <c r="P135" s="20">
        <f>SUM(D135:M135)/C135</f>
        <v>22</v>
      </c>
    </row>
    <row r="136" spans="1:26" s="8" customFormat="1" ht="18.75" customHeight="1" thickBot="1">
      <c r="A136" s="15">
        <f>RANK(O136,O$5:O$197)</f>
        <v>132</v>
      </c>
      <c r="B136" s="23" t="s">
        <v>130</v>
      </c>
      <c r="C136" s="17">
        <f>COUNT(D136:M136)</f>
        <v>1</v>
      </c>
      <c r="D136" s="116">
        <f>IFERROR(VLOOKUP($B136,'NCA Players Doubles'!$Z:$AB,3,FALSE),IFERROR(VLOOKUP($B136,'NCA Players Doubles'!$AA:$AB,2,FALSE),""))</f>
        <v>21</v>
      </c>
      <c r="E136" s="4" t="str">
        <f>IFERROR(VLOOKUP($B136,'NCA Players Singles'!$V:$W,2,FALSE),"")</f>
        <v/>
      </c>
      <c r="F136" s="38" t="str">
        <f>IFERROR(VLOOKUP($B136,Belleville!$U:$V,2,FALSE),"")</f>
        <v/>
      </c>
      <c r="G136" s="187" t="str">
        <f>IFERROR(VLOOKUP($B136,'Owen Sound'!$Z:$AA,2,FALSE),"")</f>
        <v/>
      </c>
      <c r="H136" s="187" t="str">
        <f>IFERROR(VLOOKUP($B136,ODCC!O:P,2,FALSE),"")</f>
        <v/>
      </c>
      <c r="I136" s="187" t="str">
        <f>IFERROR(VLOOKUP($B136,Elmira!S:T,2,FALSE),"")</f>
        <v/>
      </c>
      <c r="J136" s="187" t="str">
        <f>IFERROR(VLOOKUP($B136,Chatham!K:L,2,FALSE),"")</f>
        <v/>
      </c>
      <c r="K136" s="187" t="str">
        <f>IFERROR(VLOOKUP($B136,London!AM:AN,2,FALSE),"")</f>
        <v/>
      </c>
      <c r="L136" s="187" t="str">
        <f>IFERROR(VLOOKUP($B136,'US Open'!A:B,2,FALSE),"")</f>
        <v/>
      </c>
      <c r="M136" s="25" t="str">
        <f>IFERROR(VLOOKUP($B136,'Ontario Singles'!A:B,2,FALSE),"")</f>
        <v/>
      </c>
      <c r="N136" s="10"/>
      <c r="O136" s="19">
        <f>IFERROR(LARGE(D136:M136,1),0)+IFERROR(LARGE(D136:M136,2),0)+IFERROR(LARGE(D136:M136,3),0)+IFERROR(LARGE(D136:M136,4),0)</f>
        <v>21</v>
      </c>
      <c r="P136" s="20">
        <f>SUM(D136:M136)/C136</f>
        <v>21</v>
      </c>
      <c r="Q136" s="21"/>
      <c r="R136" s="2"/>
      <c r="S136" s="2"/>
      <c r="T136" s="36"/>
      <c r="U136" s="10"/>
      <c r="V136" s="22"/>
      <c r="W136" s="10"/>
    </row>
    <row r="137" spans="1:26" s="8" customFormat="1" ht="18.75" customHeight="1" thickBot="1">
      <c r="A137" s="15">
        <f>RANK(O137,O$5:O$197)</f>
        <v>132</v>
      </c>
      <c r="B137" s="23" t="s">
        <v>131</v>
      </c>
      <c r="C137" s="17">
        <f>COUNT(D137:M137)</f>
        <v>1</v>
      </c>
      <c r="D137" s="116">
        <f>IFERROR(VLOOKUP($B137,'NCA Players Doubles'!$Z:$AB,3,FALSE),IFERROR(VLOOKUP($B137,'NCA Players Doubles'!$AA:$AB,2,FALSE),""))</f>
        <v>21</v>
      </c>
      <c r="E137" s="4" t="str">
        <f>IFERROR(VLOOKUP($B137,'NCA Players Singles'!$V:$W,2,FALSE),"")</f>
        <v/>
      </c>
      <c r="F137" s="26" t="str">
        <f>IFERROR(VLOOKUP($B137,Belleville!$U:$V,2,FALSE),"")</f>
        <v/>
      </c>
      <c r="G137" s="187" t="str">
        <f>IFERROR(VLOOKUP($B137,'Owen Sound'!$Z:$AA,2,FALSE),"")</f>
        <v/>
      </c>
      <c r="H137" s="187" t="str">
        <f>IFERROR(VLOOKUP($B137,ODCC!O:P,2,FALSE),"")</f>
        <v/>
      </c>
      <c r="I137" s="187" t="str">
        <f>IFERROR(VLOOKUP($B137,Elmira!S:T,2,FALSE),"")</f>
        <v/>
      </c>
      <c r="J137" s="187" t="str">
        <f>IFERROR(VLOOKUP($B137,Chatham!K:L,2,FALSE),"")</f>
        <v/>
      </c>
      <c r="K137" s="187" t="str">
        <f>IFERROR(VLOOKUP($B137,London!AM:AN,2,FALSE),"")</f>
        <v/>
      </c>
      <c r="L137" s="187" t="str">
        <f>IFERROR(VLOOKUP($B137,'US Open'!A:B,2,FALSE),"")</f>
        <v/>
      </c>
      <c r="M137" s="25" t="str">
        <f>IFERROR(VLOOKUP($B137,'Ontario Singles'!A:B,2,FALSE),"")</f>
        <v/>
      </c>
      <c r="N137" s="10"/>
      <c r="O137" s="19">
        <f>IFERROR(LARGE(D137:M137,1),0)+IFERROR(LARGE(D137:M137,2),0)+IFERROR(LARGE(D137:M137,3),0)+IFERROR(LARGE(D137:M137,4),0)</f>
        <v>21</v>
      </c>
      <c r="P137" s="20">
        <f>SUM(D137:M137)/C137</f>
        <v>21</v>
      </c>
      <c r="Q137" s="21"/>
      <c r="T137" s="36"/>
      <c r="U137" s="10"/>
      <c r="V137" s="36"/>
      <c r="W137" s="10"/>
    </row>
    <row r="138" spans="1:26" s="8" customFormat="1" ht="18.75" customHeight="1" thickBot="1">
      <c r="A138" s="15">
        <f>RANK(O138,O$5:O$197)</f>
        <v>132</v>
      </c>
      <c r="B138" s="23" t="s">
        <v>322</v>
      </c>
      <c r="C138" s="17">
        <f>COUNT(D138:M138)</f>
        <v>1</v>
      </c>
      <c r="D138" s="116" t="str">
        <f>IFERROR(VLOOKUP($B138,'NCA Players Doubles'!$Z:$AB,3,FALSE),IFERROR(VLOOKUP($B138,'NCA Players Doubles'!$AA:$AB,2,FALSE),""))</f>
        <v/>
      </c>
      <c r="E138" s="4" t="str">
        <f>IFERROR(VLOOKUP($B138,'NCA Players Singles'!$V:$W,2,FALSE),"")</f>
        <v/>
      </c>
      <c r="F138" s="24" t="str">
        <f>IFERROR(VLOOKUP($B138,Belleville!$U:$V,2,FALSE),"")</f>
        <v/>
      </c>
      <c r="G138" s="187" t="str">
        <f>IFERROR(VLOOKUP($B138,'Owen Sound'!$Z:$AA,2,FALSE),"")</f>
        <v/>
      </c>
      <c r="H138" s="187" t="str">
        <f>IFERROR(VLOOKUP($B138,ODCC!O:P,2,FALSE),"")</f>
        <v/>
      </c>
      <c r="I138" s="187">
        <f>IFERROR(VLOOKUP($B138,Elmira!S:T,2,FALSE),"")</f>
        <v>21</v>
      </c>
      <c r="J138" s="187" t="str">
        <f>IFERROR(VLOOKUP($B138,Chatham!K:L,2,FALSE),"")</f>
        <v/>
      </c>
      <c r="K138" s="187" t="str">
        <f>IFERROR(VLOOKUP($B138,London!AM:AN,2,FALSE),"")</f>
        <v/>
      </c>
      <c r="L138" s="187" t="str">
        <f>IFERROR(VLOOKUP($B138,'US Open'!A:B,2,FALSE),"")</f>
        <v/>
      </c>
      <c r="M138" s="25" t="str">
        <f>IFERROR(VLOOKUP($B138,'Ontario Singles'!A:B,2,FALSE),"")</f>
        <v/>
      </c>
      <c r="N138" s="10"/>
      <c r="O138" s="19">
        <f>IFERROR(LARGE(D138:M138,1),0)+IFERROR(LARGE(D138:M138,2),0)+IFERROR(LARGE(D138:M138,3),0)+IFERROR(LARGE(D138:M138,4),0)</f>
        <v>21</v>
      </c>
      <c r="P138" s="20">
        <f>SUM(D138:M138)/C138</f>
        <v>21</v>
      </c>
      <c r="S138" s="2"/>
      <c r="T138" s="36"/>
      <c r="U138" s="5"/>
    </row>
    <row r="139" spans="1:26" s="8" customFormat="1" ht="18.75" customHeight="1" thickBot="1">
      <c r="A139" s="15">
        <f>RANK(O139,O$5:O$197)</f>
        <v>132</v>
      </c>
      <c r="B139" s="23" t="s">
        <v>523</v>
      </c>
      <c r="C139" s="17">
        <f>COUNT(D139:M139)</f>
        <v>1</v>
      </c>
      <c r="D139" s="116" t="str">
        <f>IFERROR(VLOOKUP($B139,'NCA Players Doubles'!$Z:$AB,3,FALSE),IFERROR(VLOOKUP($B139,'NCA Players Doubles'!$AA:$AB,2,FALSE),""))</f>
        <v/>
      </c>
      <c r="E139" s="4" t="str">
        <f>IFERROR(VLOOKUP($B139,'NCA Players Singles'!$V:$W,2,FALSE),"")</f>
        <v/>
      </c>
      <c r="F139" s="24" t="str">
        <f>IFERROR(VLOOKUP($B139,Belleville!$U:$V,2,FALSE),"")</f>
        <v/>
      </c>
      <c r="G139" s="187" t="str">
        <f>IFERROR(VLOOKUP($B139,'Owen Sound'!$Z:$AA,2,FALSE),"")</f>
        <v/>
      </c>
      <c r="H139" s="187" t="str">
        <f>IFERROR(VLOOKUP($B139,ODCC!O:P,2,FALSE),"")</f>
        <v/>
      </c>
      <c r="I139" s="187" t="str">
        <f>IFERROR(VLOOKUP($B139,Elmira!S:T,2,FALSE),"")</f>
        <v/>
      </c>
      <c r="J139" s="187" t="str">
        <f>IFERROR(VLOOKUP($B139,Chatham!K:L,2,FALSE),"")</f>
        <v/>
      </c>
      <c r="K139" s="187" t="str">
        <f>IFERROR(VLOOKUP($B139,London!AM:AN,2,FALSE),"")</f>
        <v/>
      </c>
      <c r="L139" s="187">
        <f>IFERROR(VLOOKUP($B139,'US Open'!A:B,2,FALSE),"")</f>
        <v>21</v>
      </c>
      <c r="M139" s="25" t="str">
        <f>IFERROR(VLOOKUP($B139,'Ontario Singles'!A:B,2,FALSE),"")</f>
        <v/>
      </c>
      <c r="N139" s="10"/>
      <c r="O139" s="19">
        <f>IFERROR(LARGE(D139:M139,1),0)+IFERROR(LARGE(D139:M139,2),0)+IFERROR(LARGE(D139:M139,3),0)+IFERROR(LARGE(D139:M139,4),0)</f>
        <v>21</v>
      </c>
      <c r="P139" s="20">
        <f>SUM(D139:M139)/C139</f>
        <v>21</v>
      </c>
      <c r="S139" s="2"/>
      <c r="T139" s="36"/>
      <c r="U139" s="5"/>
    </row>
    <row r="140" spans="1:26" s="8" customFormat="1" ht="18.75" customHeight="1" thickBot="1">
      <c r="A140" s="15">
        <f>RANK(O140,O$5:O$197)</f>
        <v>132</v>
      </c>
      <c r="B140" s="532" t="s">
        <v>495</v>
      </c>
      <c r="C140" s="17">
        <f>COUNT(D140:M140)</f>
        <v>1</v>
      </c>
      <c r="D140" s="116" t="str">
        <f>IFERROR(VLOOKUP($B140,'NCA Players Doubles'!$Z:$AB,3,FALSE),IFERROR(VLOOKUP($B140,'NCA Players Doubles'!$AA:$AB,2,FALSE),""))</f>
        <v/>
      </c>
      <c r="E140" s="4" t="str">
        <f>IFERROR(VLOOKUP($B140,'NCA Players Singles'!$V:$W,2,FALSE),"")</f>
        <v/>
      </c>
      <c r="F140" s="24" t="str">
        <f>IFERROR(VLOOKUP($B140,Belleville!$U:$V,2,FALSE),"")</f>
        <v/>
      </c>
      <c r="G140" s="187" t="str">
        <f>IFERROR(VLOOKUP($B140,'Owen Sound'!$Z:$AA,2,FALSE),"")</f>
        <v/>
      </c>
      <c r="H140" s="187" t="str">
        <f>IFERROR(VLOOKUP($B140,ODCC!O:P,2,FALSE),"")</f>
        <v/>
      </c>
      <c r="I140" s="187" t="str">
        <f>IFERROR(VLOOKUP($B140,Elmira!S:T,2,FALSE),"")</f>
        <v/>
      </c>
      <c r="J140" s="187" t="str">
        <f>IFERROR(VLOOKUP($B140,Chatham!K:L,2,FALSE),"")</f>
        <v/>
      </c>
      <c r="K140" s="187" t="str">
        <f>IFERROR(VLOOKUP($B140,London!AM:AN,2,FALSE),"")</f>
        <v/>
      </c>
      <c r="L140" s="187">
        <f>IFERROR(VLOOKUP($B140,'US Open'!A:B,2,FALSE),"")</f>
        <v>21</v>
      </c>
      <c r="M140" s="25" t="str">
        <f>IFERROR(VLOOKUP($B140,'Ontario Singles'!A:B,2,FALSE),"")</f>
        <v/>
      </c>
      <c r="N140" s="10"/>
      <c r="O140" s="19">
        <f>IFERROR(LARGE(D140:M140,1),0)+IFERROR(LARGE(D140:M140,2),0)+IFERROR(LARGE(D140:M140,3),0)+IFERROR(LARGE(D140:M140,4),0)</f>
        <v>21</v>
      </c>
      <c r="P140" s="20">
        <f>SUM(D140:M140)/C140</f>
        <v>21</v>
      </c>
    </row>
    <row r="141" spans="1:26" s="8" customFormat="1" ht="18.75" customHeight="1" thickBot="1">
      <c r="A141" s="15">
        <f>RANK(O141,O$5:O$197)</f>
        <v>137</v>
      </c>
      <c r="B141" s="23" t="s">
        <v>164</v>
      </c>
      <c r="C141" s="17">
        <f>COUNT(D141:M141)</f>
        <v>1</v>
      </c>
      <c r="D141" s="116" t="str">
        <f>IFERROR(VLOOKUP($B141,'NCA Players Doubles'!$Z:$AB,3,FALSE),IFERROR(VLOOKUP($B141,'NCA Players Doubles'!$AA:$AB,2,FALSE),""))</f>
        <v/>
      </c>
      <c r="E141" s="4">
        <f>IFERROR(VLOOKUP($B141,'NCA Players Singles'!$V:$W,2,FALSE),"")</f>
        <v>20</v>
      </c>
      <c r="F141" s="26" t="str">
        <f>IFERROR(VLOOKUP($B141,Belleville!$U:$V,2,FALSE),"")</f>
        <v/>
      </c>
      <c r="G141" s="187" t="str">
        <f>IFERROR(VLOOKUP($B141,'Owen Sound'!$Z:$AA,2,FALSE),"")</f>
        <v/>
      </c>
      <c r="H141" s="187" t="str">
        <f>IFERROR(VLOOKUP($B141,ODCC!O:P,2,FALSE),"")</f>
        <v/>
      </c>
      <c r="I141" s="187" t="str">
        <f>IFERROR(VLOOKUP($B141,Elmira!S:T,2,FALSE),"")</f>
        <v/>
      </c>
      <c r="J141" s="187" t="str">
        <f>IFERROR(VLOOKUP($B141,Chatham!K:L,2,FALSE),"")</f>
        <v/>
      </c>
      <c r="K141" s="187" t="str">
        <f>IFERROR(VLOOKUP($B141,London!AM:AN,2,FALSE),"")</f>
        <v/>
      </c>
      <c r="L141" s="187" t="str">
        <f>IFERROR(VLOOKUP($B141,'US Open'!A:B,2,FALSE),"")</f>
        <v/>
      </c>
      <c r="M141" s="25" t="str">
        <f>IFERROR(VLOOKUP($B141,'Ontario Singles'!A:B,2,FALSE),"")</f>
        <v/>
      </c>
      <c r="N141" s="10"/>
      <c r="O141" s="19">
        <f>IFERROR(LARGE(D141:M141,1),0)+IFERROR(LARGE(D141:M141,2),0)+IFERROR(LARGE(D141:M141,3),0)+IFERROR(LARGE(D141:M141,4),0)</f>
        <v>20</v>
      </c>
      <c r="P141" s="20">
        <f>SUM(D141:M141)/C141</f>
        <v>20</v>
      </c>
      <c r="Q141" s="21"/>
    </row>
    <row r="142" spans="1:26" s="8" customFormat="1" ht="18.75" customHeight="1" thickBot="1">
      <c r="A142" s="15">
        <f>RANK(O142,O$5:O$197)</f>
        <v>137</v>
      </c>
      <c r="B142" s="23" t="s">
        <v>165</v>
      </c>
      <c r="C142" s="17">
        <f>COUNT(D142:M142)</f>
        <v>1</v>
      </c>
      <c r="D142" s="116" t="str">
        <f>IFERROR(VLOOKUP($B142,'NCA Players Doubles'!$Z:$AB,3,FALSE),IFERROR(VLOOKUP($B142,'NCA Players Doubles'!$AA:$AB,2,FALSE),""))</f>
        <v/>
      </c>
      <c r="E142" s="4">
        <f>IFERROR(VLOOKUP($B142,'NCA Players Singles'!$V:$W,2,FALSE),"")</f>
        <v>20</v>
      </c>
      <c r="F142" s="33" t="str">
        <f>IFERROR(VLOOKUP($B142,Belleville!$U:$V,2,FALSE),"")</f>
        <v/>
      </c>
      <c r="G142" s="187" t="str">
        <f>IFERROR(VLOOKUP($B142,'Owen Sound'!$Z:$AA,2,FALSE),"")</f>
        <v/>
      </c>
      <c r="H142" s="187" t="str">
        <f>IFERROR(VLOOKUP($B142,ODCC!O:P,2,FALSE),"")</f>
        <v/>
      </c>
      <c r="I142" s="187" t="str">
        <f>IFERROR(VLOOKUP($B142,Elmira!S:T,2,FALSE),"")</f>
        <v/>
      </c>
      <c r="J142" s="187" t="str">
        <f>IFERROR(VLOOKUP($B142,Chatham!K:L,2,FALSE),"")</f>
        <v/>
      </c>
      <c r="K142" s="187" t="str">
        <f>IFERROR(VLOOKUP($B142,London!AM:AN,2,FALSE),"")</f>
        <v/>
      </c>
      <c r="L142" s="187" t="str">
        <f>IFERROR(VLOOKUP($B142,'US Open'!A:B,2,FALSE),"")</f>
        <v/>
      </c>
      <c r="M142" s="25" t="str">
        <f>IFERROR(VLOOKUP($B142,'Ontario Singles'!A:B,2,FALSE),"")</f>
        <v/>
      </c>
      <c r="N142" s="28"/>
      <c r="O142" s="19">
        <f>IFERROR(LARGE(D142:M142,1),0)+IFERROR(LARGE(D142:M142,2),0)+IFERROR(LARGE(D142:M142,3),0)+IFERROR(LARGE(D142:M142,4),0)</f>
        <v>20</v>
      </c>
      <c r="P142" s="20">
        <f>SUM(D142:M142)/C142</f>
        <v>20</v>
      </c>
      <c r="R142" s="2"/>
      <c r="S142" s="2"/>
      <c r="T142" s="22"/>
      <c r="U142" s="28"/>
      <c r="V142" s="22"/>
      <c r="W142" s="10"/>
    </row>
    <row r="143" spans="1:26" s="8" customFormat="1" ht="18.75" customHeight="1" thickBot="1">
      <c r="A143" s="15">
        <f>RANK(O143,O$5:O$197)</f>
        <v>137</v>
      </c>
      <c r="B143" s="23" t="s">
        <v>166</v>
      </c>
      <c r="C143" s="17">
        <f>COUNT(D143:M143)</f>
        <v>1</v>
      </c>
      <c r="D143" s="116" t="str">
        <f>IFERROR(VLOOKUP($B143,'NCA Players Doubles'!$Z:$AB,3,FALSE),IFERROR(VLOOKUP($B143,'NCA Players Doubles'!$AA:$AB,2,FALSE),""))</f>
        <v/>
      </c>
      <c r="E143" s="4">
        <f>IFERROR(VLOOKUP($B143,'NCA Players Singles'!$V:$W,2,FALSE),"")</f>
        <v>20</v>
      </c>
      <c r="F143" s="33" t="str">
        <f>IFERROR(VLOOKUP($B143,Belleville!$U:$V,2,FALSE),"")</f>
        <v/>
      </c>
      <c r="G143" s="187" t="str">
        <f>IFERROR(VLOOKUP($B143,'Owen Sound'!$Z:$AA,2,FALSE),"")</f>
        <v/>
      </c>
      <c r="H143" s="187" t="str">
        <f>IFERROR(VLOOKUP($B143,ODCC!O:P,2,FALSE),"")</f>
        <v/>
      </c>
      <c r="I143" s="187" t="str">
        <f>IFERROR(VLOOKUP($B143,Elmira!S:T,2,FALSE),"")</f>
        <v/>
      </c>
      <c r="J143" s="187" t="str">
        <f>IFERROR(VLOOKUP($B143,Chatham!K:L,2,FALSE),"")</f>
        <v/>
      </c>
      <c r="K143" s="187" t="str">
        <f>IFERROR(VLOOKUP($B143,London!AM:AN,2,FALSE),"")</f>
        <v/>
      </c>
      <c r="L143" s="187" t="str">
        <f>IFERROR(VLOOKUP($B143,'US Open'!A:B,2,FALSE),"")</f>
        <v/>
      </c>
      <c r="M143" s="25" t="str">
        <f>IFERROR(VLOOKUP($B143,'Ontario Singles'!A:B,2,FALSE),"")</f>
        <v/>
      </c>
      <c r="N143" s="10"/>
      <c r="O143" s="19">
        <f>IFERROR(LARGE(D143:M143,1),0)+IFERROR(LARGE(D143:M143,2),0)+IFERROR(LARGE(D143:M143,3),0)+IFERROR(LARGE(D143:M143,4),0)</f>
        <v>20</v>
      </c>
      <c r="P143" s="20">
        <f>SUM(D143:M143)/C143</f>
        <v>20</v>
      </c>
      <c r="R143" s="2"/>
      <c r="S143" s="2"/>
      <c r="T143" s="36"/>
      <c r="U143" s="28"/>
      <c r="V143" s="22"/>
      <c r="W143" s="10"/>
    </row>
    <row r="144" spans="1:26" s="8" customFormat="1" ht="24" thickBot="1">
      <c r="A144" s="15">
        <f>RANK(O144,O$5:O$197)</f>
        <v>137</v>
      </c>
      <c r="B144" s="23" t="s">
        <v>167</v>
      </c>
      <c r="C144" s="17">
        <f>COUNT(D144:M144)</f>
        <v>1</v>
      </c>
      <c r="D144" s="116" t="str">
        <f>IFERROR(VLOOKUP($B144,'NCA Players Doubles'!$Z:$AB,3,FALSE),IFERROR(VLOOKUP($B144,'NCA Players Doubles'!$AA:$AB,2,FALSE),""))</f>
        <v/>
      </c>
      <c r="E144" s="4">
        <f>IFERROR(VLOOKUP($B144,'NCA Players Singles'!$V:$W,2,FALSE),"")</f>
        <v>20</v>
      </c>
      <c r="F144" s="26" t="str">
        <f>IFERROR(VLOOKUP($B144,Belleville!$U:$V,2,FALSE),"")</f>
        <v/>
      </c>
      <c r="G144" s="187" t="str">
        <f>IFERROR(VLOOKUP($B144,'Owen Sound'!$Z:$AA,2,FALSE),"")</f>
        <v/>
      </c>
      <c r="H144" s="187" t="str">
        <f>IFERROR(VLOOKUP($B144,ODCC!O:P,2,FALSE),"")</f>
        <v/>
      </c>
      <c r="I144" s="187" t="str">
        <f>IFERROR(VLOOKUP($B144,Elmira!S:T,2,FALSE),"")</f>
        <v/>
      </c>
      <c r="J144" s="187" t="str">
        <f>IFERROR(VLOOKUP($B144,Chatham!K:L,2,FALSE),"")</f>
        <v/>
      </c>
      <c r="K144" s="187" t="str">
        <f>IFERROR(VLOOKUP($B144,London!AM:AN,2,FALSE),"")</f>
        <v/>
      </c>
      <c r="L144" s="187" t="str">
        <f>IFERROR(VLOOKUP($B144,'US Open'!A:B,2,FALSE),"")</f>
        <v/>
      </c>
      <c r="M144" s="25" t="str">
        <f>IFERROR(VLOOKUP($B144,'Ontario Singles'!A:B,2,FALSE),"")</f>
        <v/>
      </c>
      <c r="N144" s="10"/>
      <c r="O144" s="19">
        <f>IFERROR(LARGE(D144:M144,1),0)+IFERROR(LARGE(D144:M144,2),0)+IFERROR(LARGE(D144:M144,3),0)+IFERROR(LARGE(D144:M144,4),0)</f>
        <v>20</v>
      </c>
      <c r="P144" s="20">
        <f>SUM(D144:M144)/C144</f>
        <v>20</v>
      </c>
      <c r="R144" s="2"/>
      <c r="S144" s="2"/>
      <c r="T144" s="36"/>
      <c r="U144" s="28"/>
      <c r="V144" s="22"/>
      <c r="W144" s="10"/>
    </row>
    <row r="145" spans="1:26" s="8" customFormat="1" ht="24" thickBot="1">
      <c r="A145" s="15">
        <f>RANK(O145,O$5:O$197)</f>
        <v>137</v>
      </c>
      <c r="B145" s="23" t="s">
        <v>168</v>
      </c>
      <c r="C145" s="17">
        <f>COUNT(D145:M145)</f>
        <v>1</v>
      </c>
      <c r="D145" s="116" t="str">
        <f>IFERROR(VLOOKUP($B145,'NCA Players Doubles'!$Z:$AB,3,FALSE),IFERROR(VLOOKUP($B145,'NCA Players Doubles'!$AA:$AB,2,FALSE),""))</f>
        <v/>
      </c>
      <c r="E145" s="4">
        <f>IFERROR(VLOOKUP($B145,'NCA Players Singles'!$V:$W,2,FALSE),"")</f>
        <v>20</v>
      </c>
      <c r="F145" s="18" t="str">
        <f>IFERROR(VLOOKUP($B145,Belleville!$U:$V,2,FALSE),"")</f>
        <v/>
      </c>
      <c r="G145" s="187" t="str">
        <f>IFERROR(VLOOKUP($B145,'Owen Sound'!$Z:$AA,2,FALSE),"")</f>
        <v/>
      </c>
      <c r="H145" s="187" t="str">
        <f>IFERROR(VLOOKUP($B145,ODCC!O:P,2,FALSE),"")</f>
        <v/>
      </c>
      <c r="I145" s="187" t="str">
        <f>IFERROR(VLOOKUP($B145,Elmira!S:T,2,FALSE),"")</f>
        <v/>
      </c>
      <c r="J145" s="187" t="str">
        <f>IFERROR(VLOOKUP($B145,Chatham!K:L,2,FALSE),"")</f>
        <v/>
      </c>
      <c r="K145" s="187" t="str">
        <f>IFERROR(VLOOKUP($B145,London!AM:AN,2,FALSE),"")</f>
        <v/>
      </c>
      <c r="L145" s="187" t="str">
        <f>IFERROR(VLOOKUP($B145,'US Open'!A:B,2,FALSE),"")</f>
        <v/>
      </c>
      <c r="M145" s="25" t="str">
        <f>IFERROR(VLOOKUP($B145,'Ontario Singles'!A:B,2,FALSE),"")</f>
        <v/>
      </c>
      <c r="N145" s="10"/>
      <c r="O145" s="19">
        <f>IFERROR(LARGE(D145:M145,1),0)+IFERROR(LARGE(D145:M145,2),0)+IFERROR(LARGE(D145:M145,3),0)+IFERROR(LARGE(D145:M145,4),0)</f>
        <v>20</v>
      </c>
      <c r="P145" s="20">
        <f>SUM(D145:M145)/C145</f>
        <v>20</v>
      </c>
      <c r="Q145" s="21"/>
      <c r="R145" s="2"/>
      <c r="S145" s="2"/>
      <c r="T145" s="36"/>
      <c r="U145" s="10"/>
      <c r="V145" s="22"/>
      <c r="W145" s="10"/>
    </row>
    <row r="146" spans="1:26" s="8" customFormat="1" ht="24" thickBot="1">
      <c r="A146" s="15">
        <f>RANK(O146,O$5:O$197)</f>
        <v>137</v>
      </c>
      <c r="B146" s="23" t="s">
        <v>132</v>
      </c>
      <c r="C146" s="17">
        <f>COUNT(D146:M146)</f>
        <v>1</v>
      </c>
      <c r="D146" s="116">
        <f>IFERROR(VLOOKUP($B146,'NCA Players Doubles'!$Z:$AB,3,FALSE),IFERROR(VLOOKUP($B146,'NCA Players Doubles'!$AA:$AB,2,FALSE),""))</f>
        <v>20</v>
      </c>
      <c r="E146" s="4" t="str">
        <f>IFERROR(VLOOKUP($B146,'NCA Players Singles'!$V:$W,2,FALSE),"")</f>
        <v/>
      </c>
      <c r="F146" s="26" t="str">
        <f>IFERROR(VLOOKUP($B146,Belleville!$U:$V,2,FALSE),"")</f>
        <v/>
      </c>
      <c r="G146" s="187" t="str">
        <f>IFERROR(VLOOKUP($B146,'Owen Sound'!$Z:$AA,2,FALSE),"")</f>
        <v/>
      </c>
      <c r="H146" s="187" t="str">
        <f>IFERROR(VLOOKUP($B146,ODCC!O:P,2,FALSE),"")</f>
        <v/>
      </c>
      <c r="I146" s="187" t="str">
        <f>IFERROR(VLOOKUP($B146,Elmira!S:T,2,FALSE),"")</f>
        <v/>
      </c>
      <c r="J146" s="187" t="str">
        <f>IFERROR(VLOOKUP($B146,Chatham!K:L,2,FALSE),"")</f>
        <v/>
      </c>
      <c r="K146" s="187" t="str">
        <f>IFERROR(VLOOKUP($B146,London!AM:AN,2,FALSE),"")</f>
        <v/>
      </c>
      <c r="L146" s="187" t="str">
        <f>IFERROR(VLOOKUP($B146,'US Open'!A:B,2,FALSE),"")</f>
        <v/>
      </c>
      <c r="M146" s="25" t="str">
        <f>IFERROR(VLOOKUP($B146,'Ontario Singles'!A:B,2,FALSE),"")</f>
        <v/>
      </c>
      <c r="N146" s="10"/>
      <c r="O146" s="19">
        <f>IFERROR(LARGE(D146:M146,1),0)+IFERROR(LARGE(D146:M146,2),0)+IFERROR(LARGE(D146:M146,3),0)+IFERROR(LARGE(D146:M146,4),0)</f>
        <v>20</v>
      </c>
      <c r="P146" s="20">
        <f>SUM(D146:M146)/C146</f>
        <v>20</v>
      </c>
      <c r="Q146" s="21"/>
      <c r="R146" s="2"/>
      <c r="S146" s="2"/>
      <c r="T146" s="36"/>
      <c r="U146" s="10"/>
      <c r="V146" s="22"/>
      <c r="W146" s="10"/>
    </row>
    <row r="147" spans="1:26" s="8" customFormat="1" ht="24" thickBot="1">
      <c r="A147" s="15">
        <f>RANK(O147,O$5:O$197)</f>
        <v>137</v>
      </c>
      <c r="B147" s="23" t="s">
        <v>137</v>
      </c>
      <c r="C147" s="17">
        <f>COUNT(D147:M147)</f>
        <v>1</v>
      </c>
      <c r="D147" s="116">
        <f>IFERROR(VLOOKUP($B147,'NCA Players Doubles'!$Z:$AB,3,FALSE),IFERROR(VLOOKUP($B147,'NCA Players Doubles'!$AA:$AB,2,FALSE),""))</f>
        <v>20</v>
      </c>
      <c r="E147" s="4" t="str">
        <f>IFERROR(VLOOKUP($B147,'NCA Players Singles'!$V:$W,2,FALSE),"")</f>
        <v/>
      </c>
      <c r="F147" s="26" t="str">
        <f>IFERROR(VLOOKUP($B147,Belleville!$U:$V,2,FALSE),"")</f>
        <v/>
      </c>
      <c r="G147" s="187" t="str">
        <f>IFERROR(VLOOKUP($B147,'Owen Sound'!$Z:$AA,2,FALSE),"")</f>
        <v/>
      </c>
      <c r="H147" s="187" t="str">
        <f>IFERROR(VLOOKUP($B147,ODCC!O:P,2,FALSE),"")</f>
        <v/>
      </c>
      <c r="I147" s="187" t="str">
        <f>IFERROR(VLOOKUP($B147,Elmira!S:T,2,FALSE),"")</f>
        <v/>
      </c>
      <c r="J147" s="187" t="str">
        <f>IFERROR(VLOOKUP($B147,Chatham!K:L,2,FALSE),"")</f>
        <v/>
      </c>
      <c r="K147" s="187" t="str">
        <f>IFERROR(VLOOKUP($B147,London!AM:AN,2,FALSE),"")</f>
        <v/>
      </c>
      <c r="L147" s="187" t="str">
        <f>IFERROR(VLOOKUP($B147,'US Open'!A:B,2,FALSE),"")</f>
        <v/>
      </c>
      <c r="M147" s="25" t="str">
        <f>IFERROR(VLOOKUP($B147,'Ontario Singles'!A:B,2,FALSE),"")</f>
        <v/>
      </c>
      <c r="N147" s="10"/>
      <c r="O147" s="19">
        <f>IFERROR(LARGE(D147:M147,1),0)+IFERROR(LARGE(D147:M147,2),0)+IFERROR(LARGE(D147:M147,3),0)+IFERROR(LARGE(D147:M147,4),0)</f>
        <v>20</v>
      </c>
      <c r="P147" s="20">
        <f>SUM(D147:M147)/C147</f>
        <v>20</v>
      </c>
      <c r="Q147" s="21"/>
    </row>
    <row r="148" spans="1:26" s="8" customFormat="1" ht="24" thickBot="1">
      <c r="A148" s="15">
        <f>RANK(O148,O$5:O$197)</f>
        <v>137</v>
      </c>
      <c r="B148" s="23" t="s">
        <v>139</v>
      </c>
      <c r="C148" s="17">
        <f>COUNT(D148:M148)</f>
        <v>1</v>
      </c>
      <c r="D148" s="116">
        <f>IFERROR(VLOOKUP($B148,'NCA Players Doubles'!$Z:$AB,3,FALSE),IFERROR(VLOOKUP($B148,'NCA Players Doubles'!$AA:$AB,2,FALSE),""))</f>
        <v>20</v>
      </c>
      <c r="E148" s="4" t="str">
        <f>IFERROR(VLOOKUP($B148,'NCA Players Singles'!$V:$W,2,FALSE),"")</f>
        <v/>
      </c>
      <c r="F148" s="33" t="str">
        <f>IFERROR(VLOOKUP($B148,Belleville!$U:$V,2,FALSE),"")</f>
        <v/>
      </c>
      <c r="G148" s="187" t="str">
        <f>IFERROR(VLOOKUP($B148,'Owen Sound'!$Z:$AA,2,FALSE),"")</f>
        <v/>
      </c>
      <c r="H148" s="187" t="str">
        <f>IFERROR(VLOOKUP($B148,ODCC!O:P,2,FALSE),"")</f>
        <v/>
      </c>
      <c r="I148" s="187" t="str">
        <f>IFERROR(VLOOKUP($B148,Elmira!S:T,2,FALSE),"")</f>
        <v/>
      </c>
      <c r="J148" s="187" t="str">
        <f>IFERROR(VLOOKUP($B148,Chatham!K:L,2,FALSE),"")</f>
        <v/>
      </c>
      <c r="K148" s="187" t="str">
        <f>IFERROR(VLOOKUP($B148,London!AM:AN,2,FALSE),"")</f>
        <v/>
      </c>
      <c r="L148" s="187" t="str">
        <f>IFERROR(VLOOKUP($B148,'US Open'!A:B,2,FALSE),"")</f>
        <v/>
      </c>
      <c r="M148" s="25" t="str">
        <f>IFERROR(VLOOKUP($B148,'Ontario Singles'!A:B,2,FALSE),"")</f>
        <v/>
      </c>
      <c r="N148" s="10"/>
      <c r="O148" s="19">
        <f>IFERROR(LARGE(D148:M148,1),0)+IFERROR(LARGE(D148:M148,2),0)+IFERROR(LARGE(D148:M148,3),0)+IFERROR(LARGE(D148:M148,4),0)</f>
        <v>20</v>
      </c>
      <c r="P148" s="20">
        <f>SUM(D148:M148)/C148</f>
        <v>20</v>
      </c>
      <c r="Q148" s="21"/>
    </row>
    <row r="149" spans="1:26" s="8" customFormat="1" ht="24" thickBot="1">
      <c r="A149" s="15">
        <f>RANK(O149,O$5:O$197)</f>
        <v>137</v>
      </c>
      <c r="B149" s="23" t="s">
        <v>140</v>
      </c>
      <c r="C149" s="17">
        <f>COUNT(D149:M149)</f>
        <v>1</v>
      </c>
      <c r="D149" s="116">
        <f>IFERROR(VLOOKUP($B149,'NCA Players Doubles'!$Z:$AB,3,FALSE),IFERROR(VLOOKUP($B149,'NCA Players Doubles'!$AA:$AB,2,FALSE),""))</f>
        <v>20</v>
      </c>
      <c r="E149" s="4" t="str">
        <f>IFERROR(VLOOKUP($B149,'NCA Players Singles'!$V:$W,2,FALSE),"")</f>
        <v/>
      </c>
      <c r="F149" s="26" t="str">
        <f>IFERROR(VLOOKUP($B149,Belleville!$U:$V,2,FALSE),"")</f>
        <v/>
      </c>
      <c r="G149" s="187" t="str">
        <f>IFERROR(VLOOKUP($B149,'Owen Sound'!$Z:$AA,2,FALSE),"")</f>
        <v/>
      </c>
      <c r="H149" s="187" t="str">
        <f>IFERROR(VLOOKUP($B149,ODCC!O:P,2,FALSE),"")</f>
        <v/>
      </c>
      <c r="I149" s="187" t="str">
        <f>IFERROR(VLOOKUP($B149,Elmira!S:T,2,FALSE),"")</f>
        <v/>
      </c>
      <c r="J149" s="187" t="str">
        <f>IFERROR(VLOOKUP($B149,Chatham!K:L,2,FALSE),"")</f>
        <v/>
      </c>
      <c r="K149" s="187" t="str">
        <f>IFERROR(VLOOKUP($B149,London!AM:AN,2,FALSE),"")</f>
        <v/>
      </c>
      <c r="L149" s="187" t="str">
        <f>IFERROR(VLOOKUP($B149,'US Open'!A:B,2,FALSE),"")</f>
        <v/>
      </c>
      <c r="M149" s="25" t="str">
        <f>IFERROR(VLOOKUP($B149,'Ontario Singles'!A:B,2,FALSE),"")</f>
        <v/>
      </c>
      <c r="N149" s="10"/>
      <c r="O149" s="19">
        <f>IFERROR(LARGE(D149:M149,1),0)+IFERROR(LARGE(D149:M149,2),0)+IFERROR(LARGE(D149:M149,3),0)+IFERROR(LARGE(D149:M149,4),0)</f>
        <v>20</v>
      </c>
      <c r="P149" s="20">
        <f>SUM(D149:M149)/C149</f>
        <v>20</v>
      </c>
      <c r="Q149" s="21"/>
      <c r="R149" s="2"/>
      <c r="S149" s="2"/>
      <c r="T149" s="36"/>
      <c r="U149" s="10"/>
      <c r="V149" s="22"/>
      <c r="W149" s="10"/>
    </row>
    <row r="150" spans="1:26" s="8" customFormat="1" ht="24" thickBot="1">
      <c r="A150" s="15">
        <f>RANK(O150,O$5:O$197)</f>
        <v>137</v>
      </c>
      <c r="B150" s="23" t="s">
        <v>133</v>
      </c>
      <c r="C150" s="17">
        <f>COUNT(D150:M150)</f>
        <v>1</v>
      </c>
      <c r="D150" s="116">
        <f>IFERROR(VLOOKUP($B150,'NCA Players Doubles'!$Z:$AB,3,FALSE),IFERROR(VLOOKUP($B150,'NCA Players Doubles'!$AA:$AB,2,FALSE),""))</f>
        <v>20</v>
      </c>
      <c r="E150" s="4" t="str">
        <f>IFERROR(VLOOKUP($B150,'NCA Players Singles'!$V:$W,2,FALSE),"")</f>
        <v/>
      </c>
      <c r="F150" s="26" t="str">
        <f>IFERROR(VLOOKUP($B150,Belleville!$U:$V,2,FALSE),"")</f>
        <v/>
      </c>
      <c r="G150" s="187" t="str">
        <f>IFERROR(VLOOKUP($B150,'Owen Sound'!$Z:$AA,2,FALSE),"")</f>
        <v/>
      </c>
      <c r="H150" s="187" t="str">
        <f>IFERROR(VLOOKUP($B150,ODCC!O:P,2,FALSE),"")</f>
        <v/>
      </c>
      <c r="I150" s="187" t="str">
        <f>IFERROR(VLOOKUP($B150,Elmira!S:T,2,FALSE),"")</f>
        <v/>
      </c>
      <c r="J150" s="187" t="str">
        <f>IFERROR(VLOOKUP($B150,Chatham!K:L,2,FALSE),"")</f>
        <v/>
      </c>
      <c r="K150" s="187" t="str">
        <f>IFERROR(VLOOKUP($B150,London!AM:AN,2,FALSE),"")</f>
        <v/>
      </c>
      <c r="L150" s="187" t="str">
        <f>IFERROR(VLOOKUP($B150,'US Open'!A:B,2,FALSE),"")</f>
        <v/>
      </c>
      <c r="M150" s="25" t="str">
        <f>IFERROR(VLOOKUP($B150,'Ontario Singles'!A:B,2,FALSE),"")</f>
        <v/>
      </c>
      <c r="N150" s="10"/>
      <c r="O150" s="19">
        <f>IFERROR(LARGE(D150:M150,1),0)+IFERROR(LARGE(D150:M150,2),0)+IFERROR(LARGE(D150:M150,3),0)+IFERROR(LARGE(D150:M150,4),0)</f>
        <v>20</v>
      </c>
      <c r="P150" s="20">
        <f>SUM(D150:M150)/C150</f>
        <v>20</v>
      </c>
      <c r="Q150" s="21"/>
      <c r="T150" s="36"/>
      <c r="U150" s="10"/>
      <c r="V150" s="36"/>
      <c r="W150" s="10"/>
    </row>
    <row r="151" spans="1:26" s="8" customFormat="1" ht="24" thickBot="1">
      <c r="A151" s="15">
        <f>RANK(O151,O$5:O$197)</f>
        <v>137</v>
      </c>
      <c r="B151" s="23" t="s">
        <v>138</v>
      </c>
      <c r="C151" s="17">
        <f>COUNT(D151:M151)</f>
        <v>1</v>
      </c>
      <c r="D151" s="116">
        <f>IFERROR(VLOOKUP($B151,'NCA Players Doubles'!$Z:$AB,3,FALSE),IFERROR(VLOOKUP($B151,'NCA Players Doubles'!$AA:$AB,2,FALSE),""))</f>
        <v>20</v>
      </c>
      <c r="E151" s="4" t="str">
        <f>IFERROR(VLOOKUP($B151,'NCA Players Singles'!$V:$W,2,FALSE),"")</f>
        <v/>
      </c>
      <c r="F151" s="18" t="str">
        <f>IFERROR(VLOOKUP($B151,Belleville!$U:$V,2,FALSE),"")</f>
        <v/>
      </c>
      <c r="G151" s="187" t="str">
        <f>IFERROR(VLOOKUP($B151,'Owen Sound'!$Z:$AA,2,FALSE),"")</f>
        <v/>
      </c>
      <c r="H151" s="187" t="str">
        <f>IFERROR(VLOOKUP($B151,ODCC!O:P,2,FALSE),"")</f>
        <v/>
      </c>
      <c r="I151" s="187" t="str">
        <f>IFERROR(VLOOKUP($B151,Elmira!S:T,2,FALSE),"")</f>
        <v/>
      </c>
      <c r="J151" s="187" t="str">
        <f>IFERROR(VLOOKUP($B151,Chatham!K:L,2,FALSE),"")</f>
        <v/>
      </c>
      <c r="K151" s="187" t="str">
        <f>IFERROR(VLOOKUP($B151,London!AM:AN,2,FALSE),"")</f>
        <v/>
      </c>
      <c r="L151" s="187" t="str">
        <f>IFERROR(VLOOKUP($B151,'US Open'!A:B,2,FALSE),"")</f>
        <v/>
      </c>
      <c r="M151" s="25" t="str">
        <f>IFERROR(VLOOKUP($B151,'Ontario Singles'!A:B,2,FALSE),"")</f>
        <v/>
      </c>
      <c r="N151" s="10"/>
      <c r="O151" s="19">
        <f>IFERROR(LARGE(D151:M151,1),0)+IFERROR(LARGE(D151:M151,2),0)+IFERROR(LARGE(D151:M151,3),0)+IFERROR(LARGE(D151:M151,4),0)</f>
        <v>20</v>
      </c>
      <c r="P151" s="20">
        <f>SUM(D151:M151)/C151</f>
        <v>20</v>
      </c>
      <c r="Q151" s="21"/>
      <c r="R151" s="2"/>
      <c r="S151" s="2"/>
      <c r="T151" s="36"/>
      <c r="U151" s="10"/>
      <c r="V151" s="36"/>
      <c r="W151" s="10"/>
    </row>
    <row r="152" spans="1:26" s="8" customFormat="1" ht="24" thickBot="1">
      <c r="A152" s="15">
        <f>RANK(O152,O$5:O$197)</f>
        <v>137</v>
      </c>
      <c r="B152" s="23" t="s">
        <v>184</v>
      </c>
      <c r="C152" s="17">
        <f>COUNT(D152:M152)</f>
        <v>1</v>
      </c>
      <c r="D152" s="116">
        <f>IFERROR(VLOOKUP($B152,'NCA Players Doubles'!$Z:$AB,3,FALSE),IFERROR(VLOOKUP($B152,'NCA Players Doubles'!$AA:$AB,2,FALSE),""))</f>
        <v>20</v>
      </c>
      <c r="E152" s="4" t="str">
        <f>IFERROR(VLOOKUP($B152,'NCA Players Singles'!$V:$W,2,FALSE),"")</f>
        <v/>
      </c>
      <c r="F152" s="33" t="str">
        <f>IFERROR(VLOOKUP($B152,Belleville!$U:$V,2,FALSE),"")</f>
        <v/>
      </c>
      <c r="G152" s="187" t="str">
        <f>IFERROR(VLOOKUP($B152,'Owen Sound'!$Z:$AA,2,FALSE),"")</f>
        <v/>
      </c>
      <c r="H152" s="187" t="str">
        <f>IFERROR(VLOOKUP($B152,ODCC!O:P,2,FALSE),"")</f>
        <v/>
      </c>
      <c r="I152" s="187" t="str">
        <f>IFERROR(VLOOKUP($B152,Elmira!S:T,2,FALSE),"")</f>
        <v/>
      </c>
      <c r="J152" s="187" t="str">
        <f>IFERROR(VLOOKUP($B152,Chatham!K:L,2,FALSE),"")</f>
        <v/>
      </c>
      <c r="K152" s="187" t="str">
        <f>IFERROR(VLOOKUP($B152,London!AM:AN,2,FALSE),"")</f>
        <v/>
      </c>
      <c r="L152" s="187" t="str">
        <f>IFERROR(VLOOKUP($B152,'US Open'!A:B,2,FALSE),"")</f>
        <v/>
      </c>
      <c r="M152" s="25" t="str">
        <f>IFERROR(VLOOKUP($B152,'Ontario Singles'!A:B,2,FALSE),"")</f>
        <v/>
      </c>
      <c r="N152" s="10"/>
      <c r="O152" s="19">
        <f>IFERROR(LARGE(D152:M152,1),0)+IFERROR(LARGE(D152:M152,2),0)+IFERROR(LARGE(D152:M152,3),0)+IFERROR(LARGE(D152:M152,4),0)</f>
        <v>20</v>
      </c>
      <c r="P152" s="20">
        <f>SUM(D152:M152)/C152</f>
        <v>20</v>
      </c>
      <c r="Q152" s="21"/>
      <c r="R152" s="2"/>
      <c r="S152" s="2"/>
      <c r="T152" s="22"/>
      <c r="U152" s="2"/>
      <c r="V152" s="10"/>
      <c r="W152" s="10"/>
    </row>
    <row r="153" spans="1:26" s="8" customFormat="1" ht="24" thickBot="1">
      <c r="A153" s="15">
        <f>RANK(O153,O$5:O$197)</f>
        <v>137</v>
      </c>
      <c r="B153" s="23" t="s">
        <v>141</v>
      </c>
      <c r="C153" s="17">
        <f>COUNT(D153:M153)</f>
        <v>1</v>
      </c>
      <c r="D153" s="116">
        <f>IFERROR(VLOOKUP($B153,'NCA Players Doubles'!$Z:$AB,3,FALSE),IFERROR(VLOOKUP($B153,'NCA Players Doubles'!$AA:$AB,2,FALSE),""))</f>
        <v>20</v>
      </c>
      <c r="E153" s="4" t="str">
        <f>IFERROR(VLOOKUP($B153,'NCA Players Singles'!$V:$W,2,FALSE),"")</f>
        <v/>
      </c>
      <c r="F153" s="18" t="str">
        <f>IFERROR(VLOOKUP($B153,Belleville!$U:$V,2,FALSE),"")</f>
        <v/>
      </c>
      <c r="G153" s="187" t="str">
        <f>IFERROR(VLOOKUP($B153,'Owen Sound'!$Z:$AA,2,FALSE),"")</f>
        <v/>
      </c>
      <c r="H153" s="187" t="str">
        <f>IFERROR(VLOOKUP($B153,ODCC!O:P,2,FALSE),"")</f>
        <v/>
      </c>
      <c r="I153" s="187" t="str">
        <f>IFERROR(VLOOKUP($B153,Elmira!S:T,2,FALSE),"")</f>
        <v/>
      </c>
      <c r="J153" s="187" t="str">
        <f>IFERROR(VLOOKUP($B153,Chatham!K:L,2,FALSE),"")</f>
        <v/>
      </c>
      <c r="K153" s="187" t="str">
        <f>IFERROR(VLOOKUP($B153,London!AM:AN,2,FALSE),"")</f>
        <v/>
      </c>
      <c r="L153" s="187" t="str">
        <f>IFERROR(VLOOKUP($B153,'US Open'!A:B,2,FALSE),"")</f>
        <v/>
      </c>
      <c r="M153" s="25" t="str">
        <f>IFERROR(VLOOKUP($B153,'Ontario Singles'!A:B,2,FALSE),"")</f>
        <v/>
      </c>
      <c r="N153" s="10"/>
      <c r="O153" s="19">
        <f>IFERROR(LARGE(D153:M153,1),0)+IFERROR(LARGE(D153:M153,2),0)+IFERROR(LARGE(D153:M153,3),0)+IFERROR(LARGE(D153:M153,4),0)</f>
        <v>20</v>
      </c>
      <c r="P153" s="20">
        <f>SUM(D153:M153)/C153</f>
        <v>20</v>
      </c>
      <c r="R153" s="2"/>
      <c r="S153" s="2"/>
      <c r="T153" s="22"/>
      <c r="U153" s="2"/>
      <c r="V153" s="10"/>
      <c r="W153" s="10"/>
    </row>
    <row r="154" spans="1:26" s="8" customFormat="1" ht="24" thickBot="1">
      <c r="A154" s="15">
        <f>RANK(O154,O$5:O$197)</f>
        <v>137</v>
      </c>
      <c r="B154" s="23" t="s">
        <v>199</v>
      </c>
      <c r="C154" s="17">
        <f>COUNT(D154:M154)</f>
        <v>1</v>
      </c>
      <c r="D154" s="116" t="str">
        <f>IFERROR(VLOOKUP($B154,'NCA Players Doubles'!$Z:$AB,3,FALSE),IFERROR(VLOOKUP($B154,'NCA Players Doubles'!$AA:$AB,2,FALSE),""))</f>
        <v/>
      </c>
      <c r="E154" s="4" t="str">
        <f>IFERROR(VLOOKUP($B154,'NCA Players Singles'!$V:$W,2,FALSE),"")</f>
        <v/>
      </c>
      <c r="F154" s="26">
        <f>IFERROR(VLOOKUP($B154,Belleville!$U:$V,2,FALSE),"")</f>
        <v>20</v>
      </c>
      <c r="G154" s="187" t="str">
        <f>IFERROR(VLOOKUP($B154,'Owen Sound'!$Z:$AA,2,FALSE),"")</f>
        <v/>
      </c>
      <c r="H154" s="187" t="str">
        <f>IFERROR(VLOOKUP($B154,ODCC!O:P,2,FALSE),"")</f>
        <v/>
      </c>
      <c r="I154" s="187" t="str">
        <f>IFERROR(VLOOKUP($B154,Elmira!S:T,2,FALSE),"")</f>
        <v/>
      </c>
      <c r="J154" s="187" t="str">
        <f>IFERROR(VLOOKUP($B154,Chatham!K:L,2,FALSE),"")</f>
        <v/>
      </c>
      <c r="K154" s="187" t="str">
        <f>IFERROR(VLOOKUP($B154,London!AM:AN,2,FALSE),"")</f>
        <v/>
      </c>
      <c r="L154" s="187" t="str">
        <f>IFERROR(VLOOKUP($B154,'US Open'!A:B,2,FALSE),"")</f>
        <v/>
      </c>
      <c r="M154" s="25" t="str">
        <f>IFERROR(VLOOKUP($B154,'Ontario Singles'!A:B,2,FALSE),"")</f>
        <v/>
      </c>
      <c r="N154" s="10"/>
      <c r="O154" s="19">
        <f>IFERROR(LARGE(D154:M154,1),0)+IFERROR(LARGE(D154:M154,2),0)+IFERROR(LARGE(D154:M154,3),0)+IFERROR(LARGE(D154:M154,4),0)</f>
        <v>20</v>
      </c>
      <c r="P154" s="20">
        <f>SUM(D154:M154)/C154</f>
        <v>20</v>
      </c>
      <c r="R154" s="2"/>
      <c r="S154" s="2"/>
      <c r="T154" s="36"/>
      <c r="U154" s="5"/>
    </row>
    <row r="155" spans="1:26" s="8" customFormat="1" ht="24" thickBot="1">
      <c r="A155" s="15">
        <f>RANK(O155,O$5:O$197)</f>
        <v>137</v>
      </c>
      <c r="B155" s="23" t="s">
        <v>223</v>
      </c>
      <c r="C155" s="17">
        <f>COUNT(D155:M155)</f>
        <v>1</v>
      </c>
      <c r="D155" s="116" t="str">
        <f>IFERROR(VLOOKUP($B155,'NCA Players Doubles'!$Z:$AB,3,FALSE),IFERROR(VLOOKUP($B155,'NCA Players Doubles'!$AA:$AB,2,FALSE),""))</f>
        <v/>
      </c>
      <c r="E155" s="4" t="str">
        <f>IFERROR(VLOOKUP($B155,'NCA Players Singles'!$V:$W,2,FALSE),"")</f>
        <v/>
      </c>
      <c r="F155" s="24">
        <f>IFERROR(VLOOKUP($B155,Belleville!$U:$V,2,FALSE),"")</f>
        <v>20</v>
      </c>
      <c r="G155" s="187" t="str">
        <f>IFERROR(VLOOKUP($B155,'Owen Sound'!$Z:$AA,2,FALSE),"")</f>
        <v/>
      </c>
      <c r="H155" s="187" t="str">
        <f>IFERROR(VLOOKUP($B155,ODCC!O:P,2,FALSE),"")</f>
        <v/>
      </c>
      <c r="I155" s="187" t="str">
        <f>IFERROR(VLOOKUP($B155,Elmira!S:T,2,FALSE),"")</f>
        <v/>
      </c>
      <c r="J155" s="187" t="str">
        <f>IFERROR(VLOOKUP($B155,Chatham!K:L,2,FALSE),"")</f>
        <v/>
      </c>
      <c r="K155" s="187" t="str">
        <f>IFERROR(VLOOKUP($B155,London!AM:AN,2,FALSE),"")</f>
        <v/>
      </c>
      <c r="L155" s="187" t="str">
        <f>IFERROR(VLOOKUP($B155,'US Open'!A:B,2,FALSE),"")</f>
        <v/>
      </c>
      <c r="M155" s="25" t="str">
        <f>IFERROR(VLOOKUP($B155,'Ontario Singles'!A:B,2,FALSE),"")</f>
        <v/>
      </c>
      <c r="N155" s="10"/>
      <c r="O155" s="19">
        <f>IFERROR(LARGE(D155:M155,1),0)+IFERROR(LARGE(D155:M155,2),0)+IFERROR(LARGE(D155:M155,3),0)+IFERROR(LARGE(D155:M155,4),0)</f>
        <v>20</v>
      </c>
      <c r="P155" s="20">
        <f>SUM(D155:M155)/C155</f>
        <v>20</v>
      </c>
      <c r="R155" s="2"/>
      <c r="S155" s="2"/>
      <c r="T155" s="36"/>
      <c r="U155" s="5"/>
    </row>
    <row r="156" spans="1:26" s="8" customFormat="1" ht="24" thickBot="1">
      <c r="A156" s="15">
        <f>RANK(O156,O$5:O$197)</f>
        <v>137</v>
      </c>
      <c r="B156" s="23" t="s">
        <v>241</v>
      </c>
      <c r="C156" s="17">
        <f>COUNT(D156:M156)</f>
        <v>1</v>
      </c>
      <c r="D156" s="116" t="str">
        <f>IFERROR(VLOOKUP($B156,'NCA Players Doubles'!$Z:$AB,3,FALSE),IFERROR(VLOOKUP($B156,'NCA Players Doubles'!$AA:$AB,2,FALSE),""))</f>
        <v/>
      </c>
      <c r="E156" s="4" t="str">
        <f>IFERROR(VLOOKUP($B156,'NCA Players Singles'!$V:$W,2,FALSE),"")</f>
        <v/>
      </c>
      <c r="F156" s="24" t="str">
        <f>IFERROR(VLOOKUP($B156,Belleville!$U:$V,2,FALSE),"")</f>
        <v/>
      </c>
      <c r="G156" s="187">
        <f>IFERROR(VLOOKUP($B156,'Owen Sound'!$Z:$AA,2,FALSE),"")</f>
        <v>20</v>
      </c>
      <c r="H156" s="187" t="str">
        <f>IFERROR(VLOOKUP($B156,ODCC!O:P,2,FALSE),"")</f>
        <v/>
      </c>
      <c r="I156" s="187" t="str">
        <f>IFERROR(VLOOKUP($B156,Elmira!S:T,2,FALSE),"")</f>
        <v/>
      </c>
      <c r="J156" s="187" t="str">
        <f>IFERROR(VLOOKUP($B156,Chatham!K:L,2,FALSE),"")</f>
        <v/>
      </c>
      <c r="K156" s="187" t="str">
        <f>IFERROR(VLOOKUP($B156,London!AM:AN,2,FALSE),"")</f>
        <v/>
      </c>
      <c r="L156" s="187" t="str">
        <f>IFERROR(VLOOKUP($B156,'US Open'!A:B,2,FALSE),"")</f>
        <v/>
      </c>
      <c r="M156" s="25" t="str">
        <f>IFERROR(VLOOKUP($B156,'Ontario Singles'!A:B,2,FALSE),"")</f>
        <v/>
      </c>
      <c r="N156" s="10"/>
      <c r="O156" s="19">
        <f>IFERROR(LARGE(D156:M156,1),0)+IFERROR(LARGE(D156:M156,2),0)+IFERROR(LARGE(D156:M156,3),0)+IFERROR(LARGE(D156:M156,4),0)</f>
        <v>20</v>
      </c>
      <c r="P156" s="20">
        <f>SUM(D156:M156)/C156</f>
        <v>20</v>
      </c>
      <c r="Q156" s="21"/>
      <c r="R156" s="2"/>
      <c r="S156" s="2"/>
      <c r="T156" s="36"/>
      <c r="U156" s="5"/>
      <c r="W156" s="32"/>
      <c r="X156" s="32"/>
      <c r="Y156" s="32"/>
      <c r="Z156" s="22"/>
    </row>
    <row r="157" spans="1:26" s="8" customFormat="1" ht="24" thickBot="1">
      <c r="A157" s="15">
        <f>RANK(O157,O$5:O$197)</f>
        <v>137</v>
      </c>
      <c r="B157" s="23" t="s">
        <v>240</v>
      </c>
      <c r="C157" s="17">
        <f>COUNT(D157:M157)</f>
        <v>1</v>
      </c>
      <c r="D157" s="116" t="str">
        <f>IFERROR(VLOOKUP($B157,'NCA Players Doubles'!$Z:$AB,3,FALSE),IFERROR(VLOOKUP($B157,'NCA Players Doubles'!$AA:$AB,2,FALSE),""))</f>
        <v/>
      </c>
      <c r="E157" s="4" t="str">
        <f>IFERROR(VLOOKUP($B157,'NCA Players Singles'!$V:$W,2,FALSE),"")</f>
        <v/>
      </c>
      <c r="F157" s="26" t="str">
        <f>IFERROR(VLOOKUP($B157,Belleville!$U:$V,2,FALSE),"")</f>
        <v/>
      </c>
      <c r="G157" s="187">
        <f>IFERROR(VLOOKUP($B157,'Owen Sound'!$Z:$AA,2,FALSE),"")</f>
        <v>20</v>
      </c>
      <c r="H157" s="187" t="str">
        <f>IFERROR(VLOOKUP($B157,ODCC!O:P,2,FALSE),"")</f>
        <v/>
      </c>
      <c r="I157" s="187" t="str">
        <f>IFERROR(VLOOKUP($B157,Elmira!S:T,2,FALSE),"")</f>
        <v/>
      </c>
      <c r="J157" s="187" t="str">
        <f>IFERROR(VLOOKUP($B157,Chatham!K:L,2,FALSE),"")</f>
        <v/>
      </c>
      <c r="K157" s="187" t="str">
        <f>IFERROR(VLOOKUP($B157,London!AM:AN,2,FALSE),"")</f>
        <v/>
      </c>
      <c r="L157" s="187" t="str">
        <f>IFERROR(VLOOKUP($B157,'US Open'!A:B,2,FALSE),"")</f>
        <v/>
      </c>
      <c r="M157" s="25" t="str">
        <f>IFERROR(VLOOKUP($B157,'Ontario Singles'!A:B,2,FALSE),"")</f>
        <v/>
      </c>
      <c r="N157" s="10"/>
      <c r="O157" s="19">
        <f>IFERROR(LARGE(D157:M157,1),0)+IFERROR(LARGE(D157:M157,2),0)+IFERROR(LARGE(D157:M157,3),0)+IFERROR(LARGE(D157:M157,4),0)</f>
        <v>20</v>
      </c>
      <c r="P157" s="20">
        <f>SUM(D157:M157)/C157</f>
        <v>20</v>
      </c>
      <c r="Q157" s="21"/>
      <c r="R157" s="2"/>
      <c r="S157" s="2"/>
      <c r="T157" s="36"/>
      <c r="U157" s="5"/>
    </row>
    <row r="158" spans="1:26" s="8" customFormat="1" ht="18" thickBot="1">
      <c r="A158" s="15">
        <f>RANK(O158,O$5:O$197)</f>
        <v>137</v>
      </c>
      <c r="B158" s="23" t="s">
        <v>237</v>
      </c>
      <c r="C158" s="17">
        <f>COUNT(D158:M158)</f>
        <v>1</v>
      </c>
      <c r="D158" s="116" t="str">
        <f>IFERROR(VLOOKUP($B158,'NCA Players Doubles'!$Z:$AB,3,FALSE),IFERROR(VLOOKUP($B158,'NCA Players Doubles'!$AA:$AB,2,FALSE),""))</f>
        <v/>
      </c>
      <c r="E158" s="4" t="str">
        <f>IFERROR(VLOOKUP($B158,'NCA Players Singles'!$V:$W,2,FALSE),"")</f>
        <v/>
      </c>
      <c r="F158" s="24" t="str">
        <f>IFERROR(VLOOKUP($B158,Belleville!$U:$V,2,FALSE),"")</f>
        <v/>
      </c>
      <c r="G158" s="187">
        <f>IFERROR(VLOOKUP($B158,'Owen Sound'!$Z:$AA,2,FALSE),"")</f>
        <v>20</v>
      </c>
      <c r="H158" s="187" t="str">
        <f>IFERROR(VLOOKUP($B158,ODCC!O:P,2,FALSE),"")</f>
        <v/>
      </c>
      <c r="I158" s="187" t="str">
        <f>IFERROR(VLOOKUP($B158,Elmira!S:T,2,FALSE),"")</f>
        <v/>
      </c>
      <c r="J158" s="187" t="str">
        <f>IFERROR(VLOOKUP($B158,Chatham!K:L,2,FALSE),"")</f>
        <v/>
      </c>
      <c r="K158" s="187" t="str">
        <f>IFERROR(VLOOKUP($B158,London!AM:AN,2,FALSE),"")</f>
        <v/>
      </c>
      <c r="L158" s="187" t="str">
        <f>IFERROR(VLOOKUP($B158,'US Open'!A:B,2,FALSE),"")</f>
        <v/>
      </c>
      <c r="M158" s="25" t="str">
        <f>IFERROR(VLOOKUP($B158,'Ontario Singles'!A:B,2,FALSE),"")</f>
        <v/>
      </c>
      <c r="N158" s="10"/>
      <c r="O158" s="19">
        <f>IFERROR(LARGE(D158:M158,1),0)+IFERROR(LARGE(D158:M158,2),0)+IFERROR(LARGE(D158:M158,3),0)+IFERROR(LARGE(D158:M158,4),0)</f>
        <v>20</v>
      </c>
      <c r="P158" s="20">
        <f>SUM(D158:M158)/C158</f>
        <v>20</v>
      </c>
      <c r="Q158" s="21"/>
      <c r="R158" s="2"/>
      <c r="S158" s="2"/>
      <c r="T158" s="36"/>
      <c r="U158" s="5"/>
      <c r="W158" s="32"/>
      <c r="X158" s="32"/>
      <c r="Y158" s="32"/>
      <c r="Z158" s="22"/>
    </row>
    <row r="159" spans="1:26" s="8" customFormat="1" ht="18" thickBot="1">
      <c r="A159" s="15">
        <f>RANK(O159,O$5:O$197)</f>
        <v>137</v>
      </c>
      <c r="B159" s="23" t="s">
        <v>243</v>
      </c>
      <c r="C159" s="17">
        <f>COUNT(D159:M159)</f>
        <v>1</v>
      </c>
      <c r="D159" s="116" t="str">
        <f>IFERROR(VLOOKUP($B159,'NCA Players Doubles'!$Z:$AB,3,FALSE),IFERROR(VLOOKUP($B159,'NCA Players Doubles'!$AA:$AB,2,FALSE),""))</f>
        <v/>
      </c>
      <c r="E159" s="4" t="str">
        <f>IFERROR(VLOOKUP($B159,'NCA Players Singles'!$V:$W,2,FALSE),"")</f>
        <v/>
      </c>
      <c r="F159" s="26" t="str">
        <f>IFERROR(VLOOKUP($B159,Belleville!$U:$V,2,FALSE),"")</f>
        <v/>
      </c>
      <c r="G159" s="187">
        <f>IFERROR(VLOOKUP($B159,'Owen Sound'!$Z:$AA,2,FALSE),"")</f>
        <v>20</v>
      </c>
      <c r="H159" s="187" t="str">
        <f>IFERROR(VLOOKUP($B159,ODCC!O:P,2,FALSE),"")</f>
        <v/>
      </c>
      <c r="I159" s="187" t="str">
        <f>IFERROR(VLOOKUP($B159,Elmira!S:T,2,FALSE),"")</f>
        <v/>
      </c>
      <c r="J159" s="187" t="str">
        <f>IFERROR(VLOOKUP($B159,Chatham!K:L,2,FALSE),"")</f>
        <v/>
      </c>
      <c r="K159" s="187" t="str">
        <f>IFERROR(VLOOKUP($B159,London!AM:AN,2,FALSE),"")</f>
        <v/>
      </c>
      <c r="L159" s="187" t="str">
        <f>IFERROR(VLOOKUP($B159,'US Open'!A:B,2,FALSE),"")</f>
        <v/>
      </c>
      <c r="M159" s="25" t="str">
        <f>IFERROR(VLOOKUP($B159,'Ontario Singles'!A:B,2,FALSE),"")</f>
        <v/>
      </c>
      <c r="N159" s="10"/>
      <c r="O159" s="19">
        <f>IFERROR(LARGE(D159:M159,1),0)+IFERROR(LARGE(D159:M159,2),0)+IFERROR(LARGE(D159:M159,3),0)+IFERROR(LARGE(D159:M159,4),0)</f>
        <v>20</v>
      </c>
      <c r="P159" s="20">
        <f>SUM(D159:M159)/C159</f>
        <v>20</v>
      </c>
      <c r="Q159" s="21"/>
      <c r="R159" s="10"/>
      <c r="S159" s="2"/>
      <c r="T159" s="36"/>
      <c r="U159" s="5"/>
      <c r="W159" s="32"/>
      <c r="X159" s="32"/>
      <c r="Y159" s="32"/>
      <c r="Z159" s="22"/>
    </row>
    <row r="160" spans="1:26" s="8" customFormat="1" ht="18" thickBot="1">
      <c r="A160" s="15">
        <f>RANK(O160,O$5:O$197)</f>
        <v>137</v>
      </c>
      <c r="B160" s="23" t="s">
        <v>252</v>
      </c>
      <c r="C160" s="17">
        <f>COUNT(D160:M160)</f>
        <v>1</v>
      </c>
      <c r="D160" s="116" t="str">
        <f>IFERROR(VLOOKUP($B160,'NCA Players Doubles'!$Z:$AB,3,FALSE),IFERROR(VLOOKUP($B160,'NCA Players Doubles'!$AA:$AB,2,FALSE),""))</f>
        <v/>
      </c>
      <c r="E160" s="4" t="str">
        <f>IFERROR(VLOOKUP($B160,'NCA Players Singles'!$V:$W,2,FALSE),"")</f>
        <v/>
      </c>
      <c r="F160" s="26" t="str">
        <f>IFERROR(VLOOKUP($B160,Belleville!$U:$V,2,FALSE),"")</f>
        <v/>
      </c>
      <c r="G160" s="187">
        <f>IFERROR(VLOOKUP($B160,'Owen Sound'!$Z:$AA,2,FALSE),"")</f>
        <v>20</v>
      </c>
      <c r="H160" s="187" t="str">
        <f>IFERROR(VLOOKUP($B160,ODCC!O:P,2,FALSE),"")</f>
        <v/>
      </c>
      <c r="I160" s="187" t="str">
        <f>IFERROR(VLOOKUP($B160,Elmira!S:T,2,FALSE),"")</f>
        <v/>
      </c>
      <c r="J160" s="187" t="str">
        <f>IFERROR(VLOOKUP($B160,Chatham!K:L,2,FALSE),"")</f>
        <v/>
      </c>
      <c r="K160" s="187" t="str">
        <f>IFERROR(VLOOKUP($B160,London!AM:AN,2,FALSE),"")</f>
        <v/>
      </c>
      <c r="L160" s="187" t="str">
        <f>IFERROR(VLOOKUP($B160,'US Open'!A:B,2,FALSE),"")</f>
        <v/>
      </c>
      <c r="M160" s="25" t="str">
        <f>IFERROR(VLOOKUP($B160,'Ontario Singles'!A:B,2,FALSE),"")</f>
        <v/>
      </c>
      <c r="N160" s="10"/>
      <c r="O160" s="19">
        <f>IFERROR(LARGE(D160:M160,1),0)+IFERROR(LARGE(D160:M160,2),0)+IFERROR(LARGE(D160:M160,3),0)+IFERROR(LARGE(D160:M160,4),0)</f>
        <v>20</v>
      </c>
      <c r="P160" s="20">
        <f>SUM(D160:M160)/C160</f>
        <v>20</v>
      </c>
      <c r="Q160" s="21"/>
      <c r="R160" s="10"/>
      <c r="S160" s="2"/>
      <c r="T160" s="36"/>
      <c r="U160" s="5"/>
      <c r="W160" s="32"/>
      <c r="X160" s="32"/>
      <c r="Y160" s="32"/>
      <c r="Z160" s="22"/>
    </row>
    <row r="161" spans="1:21" s="8" customFormat="1" ht="18" thickBot="1">
      <c r="A161" s="15">
        <f>RANK(O161,O$5:O$197)</f>
        <v>137</v>
      </c>
      <c r="B161" s="23" t="s">
        <v>250</v>
      </c>
      <c r="C161" s="17">
        <f>COUNT(D161:M161)</f>
        <v>1</v>
      </c>
      <c r="D161" s="116" t="str">
        <f>IFERROR(VLOOKUP($B161,'NCA Players Doubles'!$Z:$AB,3,FALSE),IFERROR(VLOOKUP($B161,'NCA Players Doubles'!$AA:$AB,2,FALSE),""))</f>
        <v/>
      </c>
      <c r="E161" s="4" t="str">
        <f>IFERROR(VLOOKUP($B161,'NCA Players Singles'!$V:$W,2,FALSE),"")</f>
        <v/>
      </c>
      <c r="F161" s="33" t="str">
        <f>IFERROR(VLOOKUP($B161,Belleville!$U:$V,2,FALSE),"")</f>
        <v/>
      </c>
      <c r="G161" s="187">
        <f>IFERROR(VLOOKUP($B161,'Owen Sound'!$Z:$AA,2,FALSE),"")</f>
        <v>20</v>
      </c>
      <c r="H161" s="187" t="str">
        <f>IFERROR(VLOOKUP($B161,ODCC!O:P,2,FALSE),"")</f>
        <v/>
      </c>
      <c r="I161" s="187" t="str">
        <f>IFERROR(VLOOKUP($B161,Elmira!S:T,2,FALSE),"")</f>
        <v/>
      </c>
      <c r="J161" s="187" t="str">
        <f>IFERROR(VLOOKUP($B161,Chatham!K:L,2,FALSE),"")</f>
        <v/>
      </c>
      <c r="K161" s="187" t="str">
        <f>IFERROR(VLOOKUP($B161,London!AM:AN,2,FALSE),"")</f>
        <v/>
      </c>
      <c r="L161" s="187" t="str">
        <f>IFERROR(VLOOKUP($B161,'US Open'!A:B,2,FALSE),"")</f>
        <v/>
      </c>
      <c r="M161" s="25" t="str">
        <f>IFERROR(VLOOKUP($B161,'Ontario Singles'!A:B,2,FALSE),"")</f>
        <v/>
      </c>
      <c r="N161" s="10"/>
      <c r="O161" s="19">
        <f>IFERROR(LARGE(D161:M161,1),0)+IFERROR(LARGE(D161:M161,2),0)+IFERROR(LARGE(D161:M161,3),0)+IFERROR(LARGE(D161:M161,4),0)</f>
        <v>20</v>
      </c>
      <c r="P161" s="20">
        <f>SUM(D161:M161)/C161</f>
        <v>20</v>
      </c>
      <c r="R161" s="10"/>
      <c r="S161" s="2"/>
      <c r="T161" s="36"/>
      <c r="U161" s="5"/>
    </row>
    <row r="162" spans="1:21" s="8" customFormat="1" ht="18" thickBot="1">
      <c r="A162" s="15">
        <f>RANK(O162,O$5:O$197)</f>
        <v>137</v>
      </c>
      <c r="B162" s="23" t="s">
        <v>251</v>
      </c>
      <c r="C162" s="17">
        <f>COUNT(D162:M162)</f>
        <v>1</v>
      </c>
      <c r="D162" s="116" t="str">
        <f>IFERROR(VLOOKUP($B162,'NCA Players Doubles'!$Z:$AB,3,FALSE),IFERROR(VLOOKUP($B162,'NCA Players Doubles'!$AA:$AB,2,FALSE),""))</f>
        <v/>
      </c>
      <c r="E162" s="4" t="str">
        <f>IFERROR(VLOOKUP($B162,'NCA Players Singles'!$V:$W,2,FALSE),"")</f>
        <v/>
      </c>
      <c r="F162" s="33" t="str">
        <f>IFERROR(VLOOKUP($B162,Belleville!$U:$V,2,FALSE),"")</f>
        <v/>
      </c>
      <c r="G162" s="187">
        <f>IFERROR(VLOOKUP($B162,'Owen Sound'!$Z:$AA,2,FALSE),"")</f>
        <v>20</v>
      </c>
      <c r="H162" s="187" t="str">
        <f>IFERROR(VLOOKUP($B162,ODCC!O:P,2,FALSE),"")</f>
        <v/>
      </c>
      <c r="I162" s="187" t="str">
        <f>IFERROR(VLOOKUP($B162,Elmira!S:T,2,FALSE),"")</f>
        <v/>
      </c>
      <c r="J162" s="187" t="str">
        <f>IFERROR(VLOOKUP($B162,Chatham!K:L,2,FALSE),"")</f>
        <v/>
      </c>
      <c r="K162" s="187" t="str">
        <f>IFERROR(VLOOKUP($B162,London!AM:AN,2,FALSE),"")</f>
        <v/>
      </c>
      <c r="L162" s="187" t="str">
        <f>IFERROR(VLOOKUP($B162,'US Open'!A:B,2,FALSE),"")</f>
        <v/>
      </c>
      <c r="M162" s="25" t="str">
        <f>IFERROR(VLOOKUP($B162,'Ontario Singles'!A:B,2,FALSE),"")</f>
        <v/>
      </c>
      <c r="N162" s="28"/>
      <c r="O162" s="19">
        <f>IFERROR(LARGE(D162:M162,1),0)+IFERROR(LARGE(D162:M162,2),0)+IFERROR(LARGE(D162:M162,3),0)+IFERROR(LARGE(D162:M162,4),0)</f>
        <v>20</v>
      </c>
      <c r="P162" s="20">
        <f>SUM(D162:M162)/C162</f>
        <v>20</v>
      </c>
      <c r="S162" s="2"/>
      <c r="T162" s="36"/>
      <c r="U162" s="5"/>
    </row>
    <row r="163" spans="1:21" s="8" customFormat="1" ht="18" thickBot="1">
      <c r="A163" s="15">
        <f>RANK(O163,O$5:O$197)</f>
        <v>137</v>
      </c>
      <c r="B163" s="23" t="s">
        <v>248</v>
      </c>
      <c r="C163" s="17">
        <f>COUNT(D163:M163)</f>
        <v>1</v>
      </c>
      <c r="D163" s="116" t="str">
        <f>IFERROR(VLOOKUP($B163,'NCA Players Doubles'!$Z:$AB,3,FALSE),IFERROR(VLOOKUP($B163,'NCA Players Doubles'!$AA:$AB,2,FALSE),""))</f>
        <v/>
      </c>
      <c r="E163" s="4" t="str">
        <f>IFERROR(VLOOKUP($B163,'NCA Players Singles'!$V:$W,2,FALSE),"")</f>
        <v/>
      </c>
      <c r="F163" s="24" t="str">
        <f>IFERROR(VLOOKUP($B163,Belleville!$U:$V,2,FALSE),"")</f>
        <v/>
      </c>
      <c r="G163" s="187">
        <f>IFERROR(VLOOKUP($B163,'Owen Sound'!$Z:$AA,2,FALSE),"")</f>
        <v>20</v>
      </c>
      <c r="H163" s="187" t="str">
        <f>IFERROR(VLOOKUP($B163,ODCC!O:P,2,FALSE),"")</f>
        <v/>
      </c>
      <c r="I163" s="187" t="str">
        <f>IFERROR(VLOOKUP($B163,Elmira!S:T,2,FALSE),"")</f>
        <v/>
      </c>
      <c r="J163" s="187" t="str">
        <f>IFERROR(VLOOKUP($B163,Chatham!K:L,2,FALSE),"")</f>
        <v/>
      </c>
      <c r="K163" s="187" t="str">
        <f>IFERROR(VLOOKUP($B163,London!AM:AN,2,FALSE),"")</f>
        <v/>
      </c>
      <c r="L163" s="187" t="str">
        <f>IFERROR(VLOOKUP($B163,'US Open'!A:B,2,FALSE),"")</f>
        <v/>
      </c>
      <c r="M163" s="25" t="str">
        <f>IFERROR(VLOOKUP($B163,'Ontario Singles'!A:B,2,FALSE),"")</f>
        <v/>
      </c>
      <c r="N163" s="10"/>
      <c r="O163" s="19">
        <f>IFERROR(LARGE(D163:M163,1),0)+IFERROR(LARGE(D163:M163,2),0)+IFERROR(LARGE(D163:M163,3),0)+IFERROR(LARGE(D163:M163,4),0)</f>
        <v>20</v>
      </c>
      <c r="P163" s="20">
        <f>SUM(D163:M163)/C163</f>
        <v>20</v>
      </c>
      <c r="S163" s="2"/>
      <c r="T163" s="36"/>
      <c r="U163" s="5"/>
    </row>
    <row r="164" spans="1:21" s="8" customFormat="1" ht="18" thickBot="1">
      <c r="A164" s="15">
        <f>RANK(O164,O$5:O$197)</f>
        <v>137</v>
      </c>
      <c r="B164" s="23" t="s">
        <v>247</v>
      </c>
      <c r="C164" s="17">
        <f>COUNT(D164:M164)</f>
        <v>1</v>
      </c>
      <c r="D164" s="116" t="str">
        <f>IFERROR(VLOOKUP($B164,'NCA Players Doubles'!$Z:$AB,3,FALSE),IFERROR(VLOOKUP($B164,'NCA Players Doubles'!$AA:$AB,2,FALSE),""))</f>
        <v/>
      </c>
      <c r="E164" s="4" t="str">
        <f>IFERROR(VLOOKUP($B164,'NCA Players Singles'!$V:$W,2,FALSE),"")</f>
        <v/>
      </c>
      <c r="F164" s="18" t="str">
        <f>IFERROR(VLOOKUP($B164,Belleville!$U:$V,2,FALSE),"")</f>
        <v/>
      </c>
      <c r="G164" s="187">
        <f>IFERROR(VLOOKUP($B164,'Owen Sound'!$Z:$AA,2,FALSE),"")</f>
        <v>20</v>
      </c>
      <c r="H164" s="187" t="str">
        <f>IFERROR(VLOOKUP($B164,ODCC!O:P,2,FALSE),"")</f>
        <v/>
      </c>
      <c r="I164" s="187" t="str">
        <f>IFERROR(VLOOKUP($B164,Elmira!S:T,2,FALSE),"")</f>
        <v/>
      </c>
      <c r="J164" s="187" t="str">
        <f>IFERROR(VLOOKUP($B164,Chatham!K:L,2,FALSE),"")</f>
        <v/>
      </c>
      <c r="K164" s="187" t="str">
        <f>IFERROR(VLOOKUP($B164,London!AM:AN,2,FALSE),"")</f>
        <v/>
      </c>
      <c r="L164" s="187" t="str">
        <f>IFERROR(VLOOKUP($B164,'US Open'!A:B,2,FALSE),"")</f>
        <v/>
      </c>
      <c r="M164" s="25" t="str">
        <f>IFERROR(VLOOKUP($B164,'Ontario Singles'!A:B,2,FALSE),"")</f>
        <v/>
      </c>
      <c r="N164" s="10"/>
      <c r="O164" s="19">
        <f>IFERROR(LARGE(D164:M164,1),0)+IFERROR(LARGE(D164:M164,2),0)+IFERROR(LARGE(D164:M164,3),0)+IFERROR(LARGE(D164:M164,4),0)</f>
        <v>20</v>
      </c>
      <c r="P164" s="20">
        <f>SUM(D164:M164)/C164</f>
        <v>20</v>
      </c>
      <c r="S164" s="2"/>
      <c r="T164" s="36"/>
      <c r="U164" s="5"/>
    </row>
    <row r="165" spans="1:21" s="8" customFormat="1" ht="18" thickBot="1">
      <c r="A165" s="15">
        <f>RANK(O165,O$5:O$197)</f>
        <v>137</v>
      </c>
      <c r="B165" s="23" t="s">
        <v>244</v>
      </c>
      <c r="C165" s="17">
        <f>COUNT(D165:M165)</f>
        <v>1</v>
      </c>
      <c r="D165" s="116" t="str">
        <f>IFERROR(VLOOKUP($B165,'NCA Players Doubles'!$Z:$AB,3,FALSE),IFERROR(VLOOKUP($B165,'NCA Players Doubles'!$AA:$AB,2,FALSE),""))</f>
        <v/>
      </c>
      <c r="E165" s="4" t="str">
        <f>IFERROR(VLOOKUP($B165,'NCA Players Singles'!$V:$W,2,FALSE),"")</f>
        <v/>
      </c>
      <c r="F165" s="26" t="str">
        <f>IFERROR(VLOOKUP($B165,Belleville!$U:$V,2,FALSE),"")</f>
        <v/>
      </c>
      <c r="G165" s="187">
        <f>IFERROR(VLOOKUP($B165,'Owen Sound'!$Z:$AA,2,FALSE),"")</f>
        <v>20</v>
      </c>
      <c r="H165" s="187" t="str">
        <f>IFERROR(VLOOKUP($B165,ODCC!O:P,2,FALSE),"")</f>
        <v/>
      </c>
      <c r="I165" s="187" t="str">
        <f>IFERROR(VLOOKUP($B165,Elmira!S:T,2,FALSE),"")</f>
        <v/>
      </c>
      <c r="J165" s="187" t="str">
        <f>IFERROR(VLOOKUP($B165,Chatham!K:L,2,FALSE),"")</f>
        <v/>
      </c>
      <c r="K165" s="187" t="str">
        <f>IFERROR(VLOOKUP($B165,London!AM:AN,2,FALSE),"")</f>
        <v/>
      </c>
      <c r="L165" s="187" t="str">
        <f>IFERROR(VLOOKUP($B165,'US Open'!A:B,2,FALSE),"")</f>
        <v/>
      </c>
      <c r="M165" s="25" t="str">
        <f>IFERROR(VLOOKUP($B165,'Ontario Singles'!A:B,2,FALSE),"")</f>
        <v/>
      </c>
      <c r="N165" s="10"/>
      <c r="O165" s="19">
        <f>IFERROR(LARGE(D165:M165,1),0)+IFERROR(LARGE(D165:M165,2),0)+IFERROR(LARGE(D165:M165,3),0)+IFERROR(LARGE(D165:M165,4),0)</f>
        <v>20</v>
      </c>
      <c r="P165" s="20">
        <f>SUM(D165:M165)/C165</f>
        <v>20</v>
      </c>
      <c r="S165" s="2"/>
      <c r="T165" s="36"/>
      <c r="U165" s="5"/>
    </row>
    <row r="166" spans="1:21" s="8" customFormat="1" ht="18" thickBot="1">
      <c r="A166" s="15">
        <f>RANK(O166,O$5:O$197)</f>
        <v>137</v>
      </c>
      <c r="B166" s="23" t="s">
        <v>249</v>
      </c>
      <c r="C166" s="17">
        <f>COUNT(D166:M166)</f>
        <v>1</v>
      </c>
      <c r="D166" s="116" t="str">
        <f>IFERROR(VLOOKUP($B166,'NCA Players Doubles'!$Z:$AB,3,FALSE),IFERROR(VLOOKUP($B166,'NCA Players Doubles'!$AA:$AB,2,FALSE),""))</f>
        <v/>
      </c>
      <c r="E166" s="4" t="str">
        <f>IFERROR(VLOOKUP($B166,'NCA Players Singles'!$V:$W,2,FALSE),"")</f>
        <v/>
      </c>
      <c r="F166" s="33" t="str">
        <f>IFERROR(VLOOKUP($B166,Belleville!$U:$V,2,FALSE),"")</f>
        <v/>
      </c>
      <c r="G166" s="187">
        <f>IFERROR(VLOOKUP($B166,'Owen Sound'!$Z:$AA,2,FALSE),"")</f>
        <v>20</v>
      </c>
      <c r="H166" s="187" t="str">
        <f>IFERROR(VLOOKUP($B166,ODCC!O:P,2,FALSE),"")</f>
        <v/>
      </c>
      <c r="I166" s="187" t="str">
        <f>IFERROR(VLOOKUP($B166,Elmira!S:T,2,FALSE),"")</f>
        <v/>
      </c>
      <c r="J166" s="187" t="str">
        <f>IFERROR(VLOOKUP($B166,Chatham!K:L,2,FALSE),"")</f>
        <v/>
      </c>
      <c r="K166" s="187" t="str">
        <f>IFERROR(VLOOKUP($B166,London!AM:AN,2,FALSE),"")</f>
        <v/>
      </c>
      <c r="L166" s="187" t="str">
        <f>IFERROR(VLOOKUP($B166,'US Open'!A:B,2,FALSE),"")</f>
        <v/>
      </c>
      <c r="M166" s="25" t="str">
        <f>IFERROR(VLOOKUP($B166,'Ontario Singles'!A:B,2,FALSE),"")</f>
        <v/>
      </c>
      <c r="N166" s="10"/>
      <c r="O166" s="19">
        <f>IFERROR(LARGE(D166:M166,1),0)+IFERROR(LARGE(D166:M166,2),0)+IFERROR(LARGE(D166:M166,3),0)+IFERROR(LARGE(D166:M166,4),0)</f>
        <v>20</v>
      </c>
      <c r="P166" s="20">
        <f>SUM(D166:M166)/C166</f>
        <v>20</v>
      </c>
      <c r="S166" s="2"/>
      <c r="T166" s="36"/>
      <c r="U166" s="5"/>
    </row>
    <row r="167" spans="1:21" s="8" customFormat="1" ht="18" thickBot="1">
      <c r="A167" s="15">
        <f>RANK(O167,O$5:O$197)</f>
        <v>137</v>
      </c>
      <c r="B167" s="23" t="s">
        <v>246</v>
      </c>
      <c r="C167" s="17">
        <f>COUNT(D167:M167)</f>
        <v>1</v>
      </c>
      <c r="D167" s="116" t="str">
        <f>IFERROR(VLOOKUP($B167,'NCA Players Doubles'!$Z:$AB,3,FALSE),IFERROR(VLOOKUP($B167,'NCA Players Doubles'!$AA:$AB,2,FALSE),""))</f>
        <v/>
      </c>
      <c r="E167" s="4" t="str">
        <f>IFERROR(VLOOKUP($B167,'NCA Players Singles'!$V:$W,2,FALSE),"")</f>
        <v/>
      </c>
      <c r="F167" s="26" t="str">
        <f>IFERROR(VLOOKUP($B167,Belleville!$U:$V,2,FALSE),"")</f>
        <v/>
      </c>
      <c r="G167" s="187">
        <f>IFERROR(VLOOKUP($B167,'Owen Sound'!$Z:$AA,2,FALSE),"")</f>
        <v>20</v>
      </c>
      <c r="H167" s="187" t="str">
        <f>IFERROR(VLOOKUP($B167,ODCC!O:P,2,FALSE),"")</f>
        <v/>
      </c>
      <c r="I167" s="187" t="str">
        <f>IFERROR(VLOOKUP($B167,Elmira!S:T,2,FALSE),"")</f>
        <v/>
      </c>
      <c r="J167" s="187" t="str">
        <f>IFERROR(VLOOKUP($B167,Chatham!K:L,2,FALSE),"")</f>
        <v/>
      </c>
      <c r="K167" s="187" t="str">
        <f>IFERROR(VLOOKUP($B167,London!AM:AN,2,FALSE),"")</f>
        <v/>
      </c>
      <c r="L167" s="187" t="str">
        <f>IFERROR(VLOOKUP($B167,'US Open'!A:B,2,FALSE),"")</f>
        <v/>
      </c>
      <c r="M167" s="25" t="str">
        <f>IFERROR(VLOOKUP($B167,'Ontario Singles'!A:B,2,FALSE),"")</f>
        <v/>
      </c>
      <c r="N167" s="10"/>
      <c r="O167" s="19">
        <f>IFERROR(LARGE(D167:M167,1),0)+IFERROR(LARGE(D167:M167,2),0)+IFERROR(LARGE(D167:M167,3),0)+IFERROR(LARGE(D167:M167,4),0)</f>
        <v>20</v>
      </c>
      <c r="P167" s="20">
        <f>SUM(D167:M167)/C167</f>
        <v>20</v>
      </c>
      <c r="S167" s="2"/>
      <c r="T167" s="36"/>
      <c r="U167" s="5"/>
    </row>
    <row r="168" spans="1:21" s="8" customFormat="1" ht="18" thickBot="1">
      <c r="A168" s="15">
        <f>RANK(O168,O$5:O$197)</f>
        <v>137</v>
      </c>
      <c r="B168" s="23" t="s">
        <v>242</v>
      </c>
      <c r="C168" s="17">
        <f>COUNT(D168:M168)</f>
        <v>1</v>
      </c>
      <c r="D168" s="116" t="str">
        <f>IFERROR(VLOOKUP($B168,'NCA Players Doubles'!$Z:$AB,3,FALSE),IFERROR(VLOOKUP($B168,'NCA Players Doubles'!$AA:$AB,2,FALSE),""))</f>
        <v/>
      </c>
      <c r="E168" s="4" t="str">
        <f>IFERROR(VLOOKUP($B168,'NCA Players Singles'!$V:$W,2,FALSE),"")</f>
        <v/>
      </c>
      <c r="F168" s="31" t="str">
        <f>IFERROR(VLOOKUP($B168,Belleville!$U:$V,2,FALSE),"")</f>
        <v/>
      </c>
      <c r="G168" s="187">
        <f>IFERROR(VLOOKUP($B168,'Owen Sound'!$Z:$AA,2,FALSE),"")</f>
        <v>20</v>
      </c>
      <c r="H168" s="187" t="str">
        <f>IFERROR(VLOOKUP($B168,ODCC!O:P,2,FALSE),"")</f>
        <v/>
      </c>
      <c r="I168" s="187" t="str">
        <f>IFERROR(VLOOKUP($B168,Elmira!S:T,2,FALSE),"")</f>
        <v/>
      </c>
      <c r="J168" s="187" t="str">
        <f>IFERROR(VLOOKUP($B168,Chatham!K:L,2,FALSE),"")</f>
        <v/>
      </c>
      <c r="K168" s="187" t="str">
        <f>IFERROR(VLOOKUP($B168,London!AM:AN,2,FALSE),"")</f>
        <v/>
      </c>
      <c r="L168" s="187" t="str">
        <f>IFERROR(VLOOKUP($B168,'US Open'!A:B,2,FALSE),"")</f>
        <v/>
      </c>
      <c r="M168" s="25" t="str">
        <f>IFERROR(VLOOKUP($B168,'Ontario Singles'!A:B,2,FALSE),"")</f>
        <v/>
      </c>
      <c r="N168" s="10"/>
      <c r="O168" s="19">
        <f>IFERROR(LARGE(D168:M168,1),0)+IFERROR(LARGE(D168:M168,2),0)+IFERROR(LARGE(D168:M168,3),0)+IFERROR(LARGE(D168:M168,4),0)</f>
        <v>20</v>
      </c>
      <c r="P168" s="20">
        <f>SUM(D168:M168)/C168</f>
        <v>20</v>
      </c>
      <c r="Q168" s="21"/>
      <c r="R168" s="2"/>
      <c r="S168" s="2"/>
      <c r="T168" s="36"/>
      <c r="U168" s="5"/>
    </row>
    <row r="169" spans="1:21" s="8" customFormat="1" ht="18" thickBot="1">
      <c r="A169" s="15">
        <f>RANK(O169,O$5:O$197)</f>
        <v>137</v>
      </c>
      <c r="B169" s="23" t="s">
        <v>324</v>
      </c>
      <c r="C169" s="17">
        <f>COUNT(D169:M169)</f>
        <v>1</v>
      </c>
      <c r="D169" s="116" t="str">
        <f>IFERROR(VLOOKUP($B169,'NCA Players Doubles'!$Z:$AB,3,FALSE),IFERROR(VLOOKUP($B169,'NCA Players Doubles'!$AA:$AB,2,FALSE),""))</f>
        <v/>
      </c>
      <c r="E169" s="4" t="str">
        <f>IFERROR(VLOOKUP($B169,'NCA Players Singles'!$V:$W,2,FALSE),"")</f>
        <v/>
      </c>
      <c r="F169" s="18" t="str">
        <f>IFERROR(VLOOKUP($B169,Belleville!$U:$V,2,FALSE),"")</f>
        <v/>
      </c>
      <c r="G169" s="187" t="str">
        <f>IFERROR(VLOOKUP($B169,'Owen Sound'!$Z:$AA,2,FALSE),"")</f>
        <v/>
      </c>
      <c r="H169" s="187" t="str">
        <f>IFERROR(VLOOKUP($B169,ODCC!O:P,2,FALSE),"")</f>
        <v/>
      </c>
      <c r="I169" s="187">
        <f>IFERROR(VLOOKUP($B169,Elmira!S:T,2,FALSE),"")</f>
        <v>20</v>
      </c>
      <c r="J169" s="187" t="str">
        <f>IFERROR(VLOOKUP($B169,Chatham!K:L,2,FALSE),"")</f>
        <v/>
      </c>
      <c r="K169" s="187" t="str">
        <f>IFERROR(VLOOKUP($B169,London!AM:AN,2,FALSE),"")</f>
        <v/>
      </c>
      <c r="L169" s="187" t="str">
        <f>IFERROR(VLOOKUP($B169,'US Open'!A:B,2,FALSE),"")</f>
        <v/>
      </c>
      <c r="M169" s="25" t="str">
        <f>IFERROR(VLOOKUP($B169,'Ontario Singles'!A:B,2,FALSE),"")</f>
        <v/>
      </c>
      <c r="N169" s="10"/>
      <c r="O169" s="19">
        <f>IFERROR(LARGE(D169:M169,1),0)+IFERROR(LARGE(D169:M169,2),0)+IFERROR(LARGE(D169:M169,3),0)+IFERROR(LARGE(D169:M169,4),0)</f>
        <v>20</v>
      </c>
      <c r="P169" s="20">
        <f>SUM(D169:M169)/C169</f>
        <v>20</v>
      </c>
      <c r="S169" s="2"/>
      <c r="T169" s="36"/>
      <c r="U169" s="5"/>
    </row>
    <row r="170" spans="1:21" s="8" customFormat="1" ht="18" thickBot="1">
      <c r="A170" s="15">
        <f>RANK(O170,O$5:O$197)</f>
        <v>137</v>
      </c>
      <c r="B170" s="23" t="s">
        <v>330</v>
      </c>
      <c r="C170" s="17">
        <f>COUNT(D170:M170)</f>
        <v>1</v>
      </c>
      <c r="D170" s="116" t="str">
        <f>IFERROR(VLOOKUP($B170,'NCA Players Doubles'!$Z:$AB,3,FALSE),IFERROR(VLOOKUP($B170,'NCA Players Doubles'!$AA:$AB,2,FALSE),""))</f>
        <v/>
      </c>
      <c r="E170" s="4" t="str">
        <f>IFERROR(VLOOKUP($B170,'NCA Players Singles'!$V:$W,2,FALSE),"")</f>
        <v/>
      </c>
      <c r="F170" s="18" t="str">
        <f>IFERROR(VLOOKUP($B170,Belleville!$U:$V,2,FALSE),"")</f>
        <v/>
      </c>
      <c r="G170" s="187" t="str">
        <f>IFERROR(VLOOKUP($B170,'Owen Sound'!$Z:$AA,2,FALSE),"")</f>
        <v/>
      </c>
      <c r="H170" s="187" t="str">
        <f>IFERROR(VLOOKUP($B170,ODCC!O:P,2,FALSE),"")</f>
        <v/>
      </c>
      <c r="I170" s="187">
        <f>IFERROR(VLOOKUP($B170,Elmira!S:T,2,FALSE),"")</f>
        <v>20</v>
      </c>
      <c r="J170" s="187" t="str">
        <f>IFERROR(VLOOKUP($B170,Chatham!K:L,2,FALSE),"")</f>
        <v/>
      </c>
      <c r="K170" s="187" t="str">
        <f>IFERROR(VLOOKUP($B170,London!AM:AN,2,FALSE),"")</f>
        <v/>
      </c>
      <c r="L170" s="187" t="str">
        <f>IFERROR(VLOOKUP($B170,'US Open'!A:B,2,FALSE),"")</f>
        <v/>
      </c>
      <c r="M170" s="25" t="str">
        <f>IFERROR(VLOOKUP($B170,'Ontario Singles'!A:B,2,FALSE),"")</f>
        <v/>
      </c>
      <c r="N170" s="10"/>
      <c r="O170" s="19">
        <f>IFERROR(LARGE(D170:M170,1),0)+IFERROR(LARGE(D170:M170,2),0)+IFERROR(LARGE(D170:M170,3),0)+IFERROR(LARGE(D170:M170,4),0)</f>
        <v>20</v>
      </c>
      <c r="P170" s="20">
        <f>SUM(D170:M170)/C170</f>
        <v>20</v>
      </c>
      <c r="S170" s="2"/>
      <c r="T170" s="36"/>
      <c r="U170" s="5"/>
    </row>
    <row r="171" spans="1:21" s="8" customFormat="1" ht="18" thickBot="1">
      <c r="A171" s="15">
        <f>RANK(O171,O$5:O$197)</f>
        <v>137</v>
      </c>
      <c r="B171" s="23" t="s">
        <v>328</v>
      </c>
      <c r="C171" s="17">
        <f>COUNT(D171:M171)</f>
        <v>1</v>
      </c>
      <c r="D171" s="116" t="str">
        <f>IFERROR(VLOOKUP($B171,'NCA Players Doubles'!$Z:$AB,3,FALSE),IFERROR(VLOOKUP($B171,'NCA Players Doubles'!$AA:$AB,2,FALSE),""))</f>
        <v/>
      </c>
      <c r="E171" s="4" t="str">
        <f>IFERROR(VLOOKUP($B171,'NCA Players Singles'!$V:$W,2,FALSE),"")</f>
        <v/>
      </c>
      <c r="F171" s="33" t="str">
        <f>IFERROR(VLOOKUP($B171,Belleville!$U:$V,2,FALSE),"")</f>
        <v/>
      </c>
      <c r="G171" s="187" t="str">
        <f>IFERROR(VLOOKUP($B171,'Owen Sound'!$Z:$AA,2,FALSE),"")</f>
        <v/>
      </c>
      <c r="H171" s="187" t="str">
        <f>IFERROR(VLOOKUP($B171,ODCC!O:P,2,FALSE),"")</f>
        <v/>
      </c>
      <c r="I171" s="187">
        <f>IFERROR(VLOOKUP($B171,Elmira!S:T,2,FALSE),"")</f>
        <v>20</v>
      </c>
      <c r="J171" s="187" t="str">
        <f>IFERROR(VLOOKUP($B171,Chatham!K:L,2,FALSE),"")</f>
        <v/>
      </c>
      <c r="K171" s="187" t="str">
        <f>IFERROR(VLOOKUP($B171,London!AM:AN,2,FALSE),"")</f>
        <v/>
      </c>
      <c r="L171" s="187" t="str">
        <f>IFERROR(VLOOKUP($B171,'US Open'!A:B,2,FALSE),"")</f>
        <v/>
      </c>
      <c r="M171" s="25" t="str">
        <f>IFERROR(VLOOKUP($B171,'Ontario Singles'!A:B,2,FALSE),"")</f>
        <v/>
      </c>
      <c r="N171" s="10"/>
      <c r="O171" s="19">
        <f>IFERROR(LARGE(D171:M171,1),0)+IFERROR(LARGE(D171:M171,2),0)+IFERROR(LARGE(D171:M171,3),0)+IFERROR(LARGE(D171:M171,4),0)</f>
        <v>20</v>
      </c>
      <c r="P171" s="20">
        <f>SUM(D171:M171)/C171</f>
        <v>20</v>
      </c>
      <c r="S171" s="2"/>
      <c r="T171" s="36"/>
      <c r="U171" s="5"/>
    </row>
    <row r="172" spans="1:21" s="8" customFormat="1" ht="18" thickBot="1">
      <c r="A172" s="15">
        <f>RANK(O172,O$5:O$197)</f>
        <v>137</v>
      </c>
      <c r="B172" s="23" t="s">
        <v>325</v>
      </c>
      <c r="C172" s="17">
        <f>COUNT(D172:M172)</f>
        <v>1</v>
      </c>
      <c r="D172" s="116" t="str">
        <f>IFERROR(VLOOKUP($B172,'NCA Players Doubles'!$Z:$AB,3,FALSE),IFERROR(VLOOKUP($B172,'NCA Players Doubles'!$AA:$AB,2,FALSE),""))</f>
        <v/>
      </c>
      <c r="E172" s="4" t="str">
        <f>IFERROR(VLOOKUP($B172,'NCA Players Singles'!$V:$W,2,FALSE),"")</f>
        <v/>
      </c>
      <c r="F172" s="33" t="str">
        <f>IFERROR(VLOOKUP($B172,Belleville!$U:$V,2,FALSE),"")</f>
        <v/>
      </c>
      <c r="G172" s="187" t="str">
        <f>IFERROR(VLOOKUP($B172,'Owen Sound'!$Z:$AA,2,FALSE),"")</f>
        <v/>
      </c>
      <c r="H172" s="187" t="str">
        <f>IFERROR(VLOOKUP($B172,ODCC!O:P,2,FALSE),"")</f>
        <v/>
      </c>
      <c r="I172" s="187">
        <f>IFERROR(VLOOKUP($B172,Elmira!S:T,2,FALSE),"")</f>
        <v>20</v>
      </c>
      <c r="J172" s="187" t="str">
        <f>IFERROR(VLOOKUP($B172,Chatham!K:L,2,FALSE),"")</f>
        <v/>
      </c>
      <c r="K172" s="187" t="str">
        <f>IFERROR(VLOOKUP($B172,London!AM:AN,2,FALSE),"")</f>
        <v/>
      </c>
      <c r="L172" s="187" t="str">
        <f>IFERROR(VLOOKUP($B172,'US Open'!A:B,2,FALSE),"")</f>
        <v/>
      </c>
      <c r="M172" s="25" t="str">
        <f>IFERROR(VLOOKUP($B172,'Ontario Singles'!A:B,2,FALSE),"")</f>
        <v/>
      </c>
      <c r="N172" s="28"/>
      <c r="O172" s="19">
        <f>IFERROR(LARGE(D172:M172,1),0)+IFERROR(LARGE(D172:M172,2),0)+IFERROR(LARGE(D172:M172,3),0)+IFERROR(LARGE(D172:M172,4),0)</f>
        <v>20</v>
      </c>
      <c r="P172" s="20">
        <f>SUM(D172:M172)/C172</f>
        <v>20</v>
      </c>
      <c r="S172" s="2"/>
      <c r="T172" s="36"/>
      <c r="U172" s="5"/>
    </row>
    <row r="173" spans="1:21" s="8" customFormat="1" ht="18" thickBot="1">
      <c r="A173" s="15">
        <f>RANK(O173,O$5:O$197)</f>
        <v>137</v>
      </c>
      <c r="B173" s="23" t="s">
        <v>432</v>
      </c>
      <c r="C173" s="17">
        <f>COUNT(D173:M173)</f>
        <v>1</v>
      </c>
      <c r="D173" s="116" t="str">
        <f>IFERROR(VLOOKUP($B173,'NCA Players Doubles'!$Z:$AB,3,FALSE),IFERROR(VLOOKUP($B173,'NCA Players Doubles'!$AA:$AB,2,FALSE),""))</f>
        <v/>
      </c>
      <c r="E173" s="4" t="str">
        <f>IFERROR(VLOOKUP($B173,'NCA Players Singles'!$V:$W,2,FALSE),"")</f>
        <v/>
      </c>
      <c r="F173" s="18" t="str">
        <f>IFERROR(VLOOKUP($B173,Belleville!$U:$V,2,FALSE),"")</f>
        <v/>
      </c>
      <c r="G173" s="187" t="str">
        <f>IFERROR(VLOOKUP($B173,'Owen Sound'!$Z:$AA,2,FALSE),"")</f>
        <v/>
      </c>
      <c r="H173" s="187" t="str">
        <f>IFERROR(VLOOKUP($B173,ODCC!O:P,2,FALSE),"")</f>
        <v/>
      </c>
      <c r="I173" s="187" t="str">
        <f>IFERROR(VLOOKUP($B173,Elmira!S:T,2,FALSE),"")</f>
        <v/>
      </c>
      <c r="J173" s="187" t="str">
        <f>IFERROR(VLOOKUP($B173,Chatham!K:L,2,FALSE),"")</f>
        <v/>
      </c>
      <c r="K173" s="187">
        <f>IFERROR(VLOOKUP($B173,London!AM:AN,2,FALSE),"")</f>
        <v>20</v>
      </c>
      <c r="L173" s="187" t="str">
        <f>IFERROR(VLOOKUP($B173,'US Open'!A:B,2,FALSE),"")</f>
        <v/>
      </c>
      <c r="M173" s="25" t="str">
        <f>IFERROR(VLOOKUP($B173,'Ontario Singles'!A:B,2,FALSE),"")</f>
        <v/>
      </c>
      <c r="N173" s="10"/>
      <c r="O173" s="19">
        <f>IFERROR(LARGE(D173:M173,1),0)+IFERROR(LARGE(D173:M173,2),0)+IFERROR(LARGE(D173:M173,3),0)+IFERROR(LARGE(D173:M173,4),0)</f>
        <v>20</v>
      </c>
      <c r="P173" s="20">
        <f>SUM(D173:M173)/C173</f>
        <v>20</v>
      </c>
      <c r="S173" s="2"/>
      <c r="T173" s="36"/>
      <c r="U173" s="5"/>
    </row>
    <row r="174" spans="1:21" s="8" customFormat="1" ht="18" thickBot="1">
      <c r="A174" s="15">
        <f>RANK(O174,O$5:O$197)</f>
        <v>137</v>
      </c>
      <c r="B174" s="23" t="s">
        <v>436</v>
      </c>
      <c r="C174" s="17">
        <f>COUNT(D174:M174)</f>
        <v>1</v>
      </c>
      <c r="D174" s="116" t="str">
        <f>IFERROR(VLOOKUP($B174,'NCA Players Doubles'!$Z:$AB,3,FALSE),IFERROR(VLOOKUP($B174,'NCA Players Doubles'!$AA:$AB,2,FALSE),""))</f>
        <v/>
      </c>
      <c r="E174" s="4" t="str">
        <f>IFERROR(VLOOKUP($B174,'NCA Players Singles'!$V:$W,2,FALSE),"")</f>
        <v/>
      </c>
      <c r="F174" s="26" t="str">
        <f>IFERROR(VLOOKUP($B174,Belleville!$U:$V,2,FALSE),"")</f>
        <v/>
      </c>
      <c r="G174" s="187" t="str">
        <f>IFERROR(VLOOKUP($B174,'Owen Sound'!$Z:$AA,2,FALSE),"")</f>
        <v/>
      </c>
      <c r="H174" s="187" t="str">
        <f>IFERROR(VLOOKUP($B174,ODCC!O:P,2,FALSE),"")</f>
        <v/>
      </c>
      <c r="I174" s="187" t="str">
        <f>IFERROR(VLOOKUP($B174,Elmira!S:T,2,FALSE),"")</f>
        <v/>
      </c>
      <c r="J174" s="187" t="str">
        <f>IFERROR(VLOOKUP($B174,Chatham!K:L,2,FALSE),"")</f>
        <v/>
      </c>
      <c r="K174" s="187">
        <f>IFERROR(VLOOKUP($B174,London!AM:AN,2,FALSE),"")</f>
        <v>20</v>
      </c>
      <c r="L174" s="187" t="str">
        <f>IFERROR(VLOOKUP($B174,'US Open'!A:B,2,FALSE),"")</f>
        <v/>
      </c>
      <c r="M174" s="25" t="str">
        <f>IFERROR(VLOOKUP($B174,'Ontario Singles'!A:B,2,FALSE),"")</f>
        <v/>
      </c>
      <c r="N174" s="10"/>
      <c r="O174" s="19">
        <f>IFERROR(LARGE(D174:M174,1),0)+IFERROR(LARGE(D174:M174,2),0)+IFERROR(LARGE(D174:M174,3),0)+IFERROR(LARGE(D174:M174,4),0)</f>
        <v>20</v>
      </c>
      <c r="P174" s="20">
        <f>SUM(D174:M174)/C174</f>
        <v>20</v>
      </c>
      <c r="S174" s="2"/>
      <c r="T174" s="36"/>
      <c r="U174" s="5"/>
    </row>
    <row r="175" spans="1:21" s="8" customFormat="1" ht="18" thickBot="1">
      <c r="A175" s="15">
        <f>RANK(O175,O$5:O$197)</f>
        <v>137</v>
      </c>
      <c r="B175" s="23" t="s">
        <v>438</v>
      </c>
      <c r="C175" s="17">
        <f>COUNT(D175:M175)</f>
        <v>1</v>
      </c>
      <c r="D175" s="116" t="str">
        <f>IFERROR(VLOOKUP($B175,'NCA Players Doubles'!$Z:$AB,3,FALSE),IFERROR(VLOOKUP($B175,'NCA Players Doubles'!$AA:$AB,2,FALSE),""))</f>
        <v/>
      </c>
      <c r="E175" s="4" t="str">
        <f>IFERROR(VLOOKUP($B175,'NCA Players Singles'!$V:$W,2,FALSE),"")</f>
        <v/>
      </c>
      <c r="F175" s="26" t="str">
        <f>IFERROR(VLOOKUP($B175,Belleville!$U:$V,2,FALSE),"")</f>
        <v/>
      </c>
      <c r="G175" s="187" t="str">
        <f>IFERROR(VLOOKUP($B175,'Owen Sound'!$Z:$AA,2,FALSE),"")</f>
        <v/>
      </c>
      <c r="H175" s="187" t="str">
        <f>IFERROR(VLOOKUP($B175,ODCC!O:P,2,FALSE),"")</f>
        <v/>
      </c>
      <c r="I175" s="187" t="str">
        <f>IFERROR(VLOOKUP($B175,Elmira!S:T,2,FALSE),"")</f>
        <v/>
      </c>
      <c r="J175" s="187" t="str">
        <f>IFERROR(VLOOKUP($B175,Chatham!K:L,2,FALSE),"")</f>
        <v/>
      </c>
      <c r="K175" s="187">
        <f>IFERROR(VLOOKUP($B175,London!AM:AN,2,FALSE),"")</f>
        <v>20</v>
      </c>
      <c r="L175" s="187" t="str">
        <f>IFERROR(VLOOKUP($B175,'US Open'!A:B,2,FALSE),"")</f>
        <v/>
      </c>
      <c r="M175" s="25" t="str">
        <f>IFERROR(VLOOKUP($B175,'Ontario Singles'!A:B,2,FALSE),"")</f>
        <v/>
      </c>
      <c r="N175" s="10"/>
      <c r="O175" s="19">
        <f>IFERROR(LARGE(D175:M175,1),0)+IFERROR(LARGE(D175:M175,2),0)+IFERROR(LARGE(D175:M175,3),0)+IFERROR(LARGE(D175:M175,4),0)</f>
        <v>20</v>
      </c>
      <c r="P175" s="20">
        <f>SUM(D175:M175)/C175</f>
        <v>20</v>
      </c>
      <c r="S175" s="2"/>
      <c r="T175" s="36"/>
      <c r="U175" s="5"/>
    </row>
    <row r="176" spans="1:21" s="8" customFormat="1" ht="18" thickBot="1">
      <c r="A176" s="15">
        <f>RANK(O176,O$5:O$197)</f>
        <v>137</v>
      </c>
      <c r="B176" s="23" t="s">
        <v>524</v>
      </c>
      <c r="C176" s="17">
        <f>COUNT(D176:M176)</f>
        <v>1</v>
      </c>
      <c r="D176" s="116" t="str">
        <f>IFERROR(VLOOKUP($B176,'NCA Players Doubles'!$Z:$AB,3,FALSE),IFERROR(VLOOKUP($B176,'NCA Players Doubles'!$AA:$AB,2,FALSE),""))</f>
        <v/>
      </c>
      <c r="E176" s="4" t="str">
        <f>IFERROR(VLOOKUP($B176,'NCA Players Singles'!$V:$W,2,FALSE),"")</f>
        <v/>
      </c>
      <c r="F176" s="24" t="str">
        <f>IFERROR(VLOOKUP($B176,Belleville!$U:$V,2,FALSE),"")</f>
        <v/>
      </c>
      <c r="G176" s="187" t="str">
        <f>IFERROR(VLOOKUP($B176,'Owen Sound'!$Z:$AA,2,FALSE),"")</f>
        <v/>
      </c>
      <c r="H176" s="187" t="str">
        <f>IFERROR(VLOOKUP($B176,ODCC!O:P,2,FALSE),"")</f>
        <v/>
      </c>
      <c r="I176" s="187" t="str">
        <f>IFERROR(VLOOKUP($B176,Elmira!S:T,2,FALSE),"")</f>
        <v/>
      </c>
      <c r="J176" s="187" t="str">
        <f>IFERROR(VLOOKUP($B176,Chatham!K:L,2,FALSE),"")</f>
        <v/>
      </c>
      <c r="K176" s="187" t="str">
        <f>IFERROR(VLOOKUP($B176,London!AM:AN,2,FALSE),"")</f>
        <v/>
      </c>
      <c r="L176" s="187">
        <f>IFERROR(VLOOKUP($B176,'US Open'!A:B,2,FALSE),"")</f>
        <v>20</v>
      </c>
      <c r="M176" s="25" t="str">
        <f>IFERROR(VLOOKUP($B176,'Ontario Singles'!A:B,2,FALSE),"")</f>
        <v/>
      </c>
      <c r="N176" s="10"/>
      <c r="O176" s="19">
        <f>IFERROR(LARGE(D176:M176,1),0)+IFERROR(LARGE(D176:M176,2),0)+IFERROR(LARGE(D176:M176,3),0)+IFERROR(LARGE(D176:M176,4),0)</f>
        <v>20</v>
      </c>
      <c r="P176" s="20">
        <f>SUM(D176:M176)/C176</f>
        <v>20</v>
      </c>
      <c r="S176" s="2"/>
      <c r="T176" s="36"/>
      <c r="U176" s="5"/>
    </row>
    <row r="177" spans="1:21" s="8" customFormat="1" ht="18" thickBot="1">
      <c r="A177" s="15">
        <f>RANK(O177,O$5:O$197)</f>
        <v>137</v>
      </c>
      <c r="B177" s="23" t="s">
        <v>525</v>
      </c>
      <c r="C177" s="17">
        <f>COUNT(D177:M177)</f>
        <v>1</v>
      </c>
      <c r="D177" s="116" t="str">
        <f>IFERROR(VLOOKUP($B177,'NCA Players Doubles'!$Z:$AB,3,FALSE),IFERROR(VLOOKUP($B177,'NCA Players Doubles'!$AA:$AB,2,FALSE),""))</f>
        <v/>
      </c>
      <c r="E177" s="4" t="str">
        <f>IFERROR(VLOOKUP($B177,'NCA Players Singles'!$V:$W,2,FALSE),"")</f>
        <v/>
      </c>
      <c r="F177" s="24" t="str">
        <f>IFERROR(VLOOKUP($B177,Belleville!$U:$V,2,FALSE),"")</f>
        <v/>
      </c>
      <c r="G177" s="187" t="str">
        <f>IFERROR(VLOOKUP($B177,'Owen Sound'!$Z:$AA,2,FALSE),"")</f>
        <v/>
      </c>
      <c r="H177" s="187" t="str">
        <f>IFERROR(VLOOKUP($B177,ODCC!O:P,2,FALSE),"")</f>
        <v/>
      </c>
      <c r="I177" s="187" t="str">
        <f>IFERROR(VLOOKUP($B177,Elmira!S:T,2,FALSE),"")</f>
        <v/>
      </c>
      <c r="J177" s="187" t="str">
        <f>IFERROR(VLOOKUP($B177,Chatham!K:L,2,FALSE),"")</f>
        <v/>
      </c>
      <c r="K177" s="187" t="str">
        <f>IFERROR(VLOOKUP($B177,London!AM:AN,2,FALSE),"")</f>
        <v/>
      </c>
      <c r="L177" s="187">
        <f>IFERROR(VLOOKUP($B177,'US Open'!A:B,2,FALSE),"")</f>
        <v>20</v>
      </c>
      <c r="M177" s="25" t="str">
        <f>IFERROR(VLOOKUP($B177,'Ontario Singles'!A:B,2,FALSE),"")</f>
        <v/>
      </c>
      <c r="N177" s="10"/>
      <c r="O177" s="19">
        <f>IFERROR(LARGE(D177:M177,1),0)+IFERROR(LARGE(D177:M177,2),0)+IFERROR(LARGE(D177:M177,3),0)+IFERROR(LARGE(D177:M177,4),0)</f>
        <v>20</v>
      </c>
      <c r="P177" s="20">
        <f>SUM(D177:M177)/C177</f>
        <v>20</v>
      </c>
      <c r="S177" s="2"/>
      <c r="T177" s="36"/>
      <c r="U177" s="5"/>
    </row>
    <row r="178" spans="1:21" s="8" customFormat="1" ht="18" thickBot="1">
      <c r="A178" s="15">
        <f>RANK(O178,O$5:O$197)</f>
        <v>137</v>
      </c>
      <c r="B178" s="23" t="s">
        <v>526</v>
      </c>
      <c r="C178" s="17">
        <f>COUNT(D178:M178)</f>
        <v>1</v>
      </c>
      <c r="D178" s="116" t="str">
        <f>IFERROR(VLOOKUP($B178,'NCA Players Doubles'!$Z:$AB,3,FALSE),IFERROR(VLOOKUP($B178,'NCA Players Doubles'!$AA:$AB,2,FALSE),""))</f>
        <v/>
      </c>
      <c r="E178" s="4" t="str">
        <f>IFERROR(VLOOKUP($B178,'NCA Players Singles'!$V:$W,2,FALSE),"")</f>
        <v/>
      </c>
      <c r="F178" s="26" t="str">
        <f>IFERROR(VLOOKUP($B178,Belleville!$U:$V,2,FALSE),"")</f>
        <v/>
      </c>
      <c r="G178" s="187" t="str">
        <f>IFERROR(VLOOKUP($B178,'Owen Sound'!$Z:$AA,2,FALSE),"")</f>
        <v/>
      </c>
      <c r="H178" s="187" t="str">
        <f>IFERROR(VLOOKUP($B178,ODCC!O:P,2,FALSE),"")</f>
        <v/>
      </c>
      <c r="I178" s="187" t="str">
        <f>IFERROR(VLOOKUP($B178,Elmira!S:T,2,FALSE),"")</f>
        <v/>
      </c>
      <c r="J178" s="187" t="str">
        <f>IFERROR(VLOOKUP($B178,Chatham!K:L,2,FALSE),"")</f>
        <v/>
      </c>
      <c r="K178" s="187" t="str">
        <f>IFERROR(VLOOKUP($B178,London!AM:AN,2,FALSE),"")</f>
        <v/>
      </c>
      <c r="L178" s="187">
        <f>IFERROR(VLOOKUP($B178,'US Open'!A:B,2,FALSE),"")</f>
        <v>20</v>
      </c>
      <c r="M178" s="25" t="str">
        <f>IFERROR(VLOOKUP($B178,'Ontario Singles'!A:B,2,FALSE),"")</f>
        <v/>
      </c>
      <c r="N178" s="10"/>
      <c r="O178" s="19">
        <f>IFERROR(LARGE(D178:M178,1),0)+IFERROR(LARGE(D178:M178,2),0)+IFERROR(LARGE(D178:M178,3),0)+IFERROR(LARGE(D178:M178,4),0)</f>
        <v>20</v>
      </c>
      <c r="P178" s="20">
        <f>SUM(D178:M178)/C178</f>
        <v>20</v>
      </c>
      <c r="S178" s="2"/>
      <c r="T178" s="36"/>
      <c r="U178" s="5"/>
    </row>
    <row r="179" spans="1:21" s="8" customFormat="1" ht="18" thickBot="1">
      <c r="A179" s="15">
        <f>RANK(O179,O$5:O$197)</f>
        <v>137</v>
      </c>
      <c r="B179" s="23" t="s">
        <v>527</v>
      </c>
      <c r="C179" s="17">
        <f>COUNT(D179:M179)</f>
        <v>1</v>
      </c>
      <c r="D179" s="116" t="str">
        <f>IFERROR(VLOOKUP($B179,'NCA Players Doubles'!$Z:$AB,3,FALSE),IFERROR(VLOOKUP($B179,'NCA Players Doubles'!$AA:$AB,2,FALSE),""))</f>
        <v/>
      </c>
      <c r="E179" s="4" t="str">
        <f>IFERROR(VLOOKUP($B179,'NCA Players Singles'!$V:$W,2,FALSE),"")</f>
        <v/>
      </c>
      <c r="F179" s="33" t="str">
        <f>IFERROR(VLOOKUP($B179,Belleville!$U:$V,2,FALSE),"")</f>
        <v/>
      </c>
      <c r="G179" s="187" t="str">
        <f>IFERROR(VLOOKUP($B179,'Owen Sound'!$Z:$AA,2,FALSE),"")</f>
        <v/>
      </c>
      <c r="H179" s="187" t="str">
        <f>IFERROR(VLOOKUP($B179,ODCC!O:P,2,FALSE),"")</f>
        <v/>
      </c>
      <c r="I179" s="187" t="str">
        <f>IFERROR(VLOOKUP($B179,Elmira!S:T,2,FALSE),"")</f>
        <v/>
      </c>
      <c r="J179" s="187" t="str">
        <f>IFERROR(VLOOKUP($B179,Chatham!K:L,2,FALSE),"")</f>
        <v/>
      </c>
      <c r="K179" s="187" t="str">
        <f>IFERROR(VLOOKUP($B179,London!AM:AN,2,FALSE),"")</f>
        <v/>
      </c>
      <c r="L179" s="187">
        <f>IFERROR(VLOOKUP($B179,'US Open'!A:B,2,FALSE),"")</f>
        <v>20</v>
      </c>
      <c r="M179" s="25" t="str">
        <f>IFERROR(VLOOKUP($B179,'Ontario Singles'!A:B,2,FALSE),"")</f>
        <v/>
      </c>
      <c r="N179" s="10"/>
      <c r="O179" s="19">
        <f>IFERROR(LARGE(D179:M179,1),0)+IFERROR(LARGE(D179:M179,2),0)+IFERROR(LARGE(D179:M179,3),0)+IFERROR(LARGE(D179:M179,4),0)</f>
        <v>20</v>
      </c>
      <c r="P179" s="20">
        <f>SUM(D179:M179)/C179</f>
        <v>20</v>
      </c>
      <c r="Q179" s="21"/>
    </row>
    <row r="180" spans="1:21" s="8" customFormat="1" ht="18" thickBot="1">
      <c r="A180" s="15">
        <f>RANK(O180,O$5:O$197)</f>
        <v>137</v>
      </c>
      <c r="B180" s="29" t="s">
        <v>528</v>
      </c>
      <c r="C180" s="17">
        <f>COUNT(D180:M180)</f>
        <v>1</v>
      </c>
      <c r="D180" s="116" t="str">
        <f>IFERROR(VLOOKUP($B180,'NCA Players Doubles'!$Z:$AB,3,FALSE),IFERROR(VLOOKUP($B180,'NCA Players Doubles'!$AA:$AB,2,FALSE),""))</f>
        <v/>
      </c>
      <c r="E180" s="4" t="str">
        <f>IFERROR(VLOOKUP($B180,'NCA Players Singles'!$V:$W,2,FALSE),"")</f>
        <v/>
      </c>
      <c r="F180" s="33" t="str">
        <f>IFERROR(VLOOKUP($B180,Belleville!$U:$V,2,FALSE),"")</f>
        <v/>
      </c>
      <c r="G180" s="187" t="str">
        <f>IFERROR(VLOOKUP($B180,'Owen Sound'!$Z:$AA,2,FALSE),"")</f>
        <v/>
      </c>
      <c r="H180" s="187" t="str">
        <f>IFERROR(VLOOKUP($B180,ODCC!O:P,2,FALSE),"")</f>
        <v/>
      </c>
      <c r="I180" s="187" t="str">
        <f>IFERROR(VLOOKUP($B180,Elmira!S:T,2,FALSE),"")</f>
        <v/>
      </c>
      <c r="J180" s="187" t="str">
        <f>IFERROR(VLOOKUP($B180,Chatham!K:L,2,FALSE),"")</f>
        <v/>
      </c>
      <c r="K180" s="187" t="str">
        <f>IFERROR(VLOOKUP($B180,London!AM:AN,2,FALSE),"")</f>
        <v/>
      </c>
      <c r="L180" s="187">
        <f>IFERROR(VLOOKUP($B180,'US Open'!A:B,2,FALSE),"")</f>
        <v>20</v>
      </c>
      <c r="M180" s="25" t="str">
        <f>IFERROR(VLOOKUP($B180,'Ontario Singles'!A:B,2,FALSE),"")</f>
        <v/>
      </c>
      <c r="N180" s="10"/>
      <c r="O180" s="19">
        <f>IFERROR(LARGE(D180:M180,1),0)+IFERROR(LARGE(D180:M180,2),0)+IFERROR(LARGE(D180:M180,3),0)+IFERROR(LARGE(D180:M180,4),0)</f>
        <v>20</v>
      </c>
      <c r="P180" s="20">
        <f>SUM(D180:M180)/C180</f>
        <v>20</v>
      </c>
      <c r="Q180" s="21"/>
    </row>
    <row r="181" spans="1:21" s="8" customFormat="1" ht="18" thickBot="1">
      <c r="A181" s="15">
        <f>RANK(O181,O$5:O$197)</f>
        <v>137</v>
      </c>
      <c r="B181" s="29" t="s">
        <v>529</v>
      </c>
      <c r="C181" s="17">
        <f>COUNT(D181:M181)</f>
        <v>1</v>
      </c>
      <c r="D181" s="116" t="str">
        <f>IFERROR(VLOOKUP($B181,'NCA Players Doubles'!$Z:$AB,3,FALSE),IFERROR(VLOOKUP($B181,'NCA Players Doubles'!$AA:$AB,2,FALSE),""))</f>
        <v/>
      </c>
      <c r="E181" s="4" t="str">
        <f>IFERROR(VLOOKUP($B181,'NCA Players Singles'!$V:$W,2,FALSE),"")</f>
        <v/>
      </c>
      <c r="F181" s="33" t="str">
        <f>IFERROR(VLOOKUP($B181,Belleville!$U:$V,2,FALSE),"")</f>
        <v/>
      </c>
      <c r="G181" s="187" t="str">
        <f>IFERROR(VLOOKUP($B181,'Owen Sound'!$Z:$AA,2,FALSE),"")</f>
        <v/>
      </c>
      <c r="H181" s="187" t="str">
        <f>IFERROR(VLOOKUP($B181,ODCC!O:P,2,FALSE),"")</f>
        <v/>
      </c>
      <c r="I181" s="187" t="str">
        <f>IFERROR(VLOOKUP($B181,Elmira!S:T,2,FALSE),"")</f>
        <v/>
      </c>
      <c r="J181" s="187" t="str">
        <f>IFERROR(VLOOKUP($B181,Chatham!K:L,2,FALSE),"")</f>
        <v/>
      </c>
      <c r="K181" s="187" t="str">
        <f>IFERROR(VLOOKUP($B181,London!AM:AN,2,FALSE),"")</f>
        <v/>
      </c>
      <c r="L181" s="187">
        <f>IFERROR(VLOOKUP($B181,'US Open'!A:B,2,FALSE),"")</f>
        <v>20</v>
      </c>
      <c r="M181" s="25" t="str">
        <f>IFERROR(VLOOKUP($B181,'Ontario Singles'!A:B,2,FALSE),"")</f>
        <v/>
      </c>
      <c r="N181" s="10"/>
      <c r="O181" s="19">
        <f>IFERROR(LARGE(D181:M181,1),0)+IFERROR(LARGE(D181:M181,2),0)+IFERROR(LARGE(D181:M181,3),0)+IFERROR(LARGE(D181:M181,4),0)</f>
        <v>20</v>
      </c>
      <c r="P181" s="20">
        <f>SUM(D181:M181)/C181</f>
        <v>20</v>
      </c>
      <c r="Q181" s="21"/>
    </row>
    <row r="182" spans="1:21" s="8" customFormat="1" ht="18" thickBot="1">
      <c r="A182" s="15">
        <f>RANK(O182,O$5:O$197)</f>
        <v>137</v>
      </c>
      <c r="B182" s="29" t="s">
        <v>530</v>
      </c>
      <c r="C182" s="17">
        <f>COUNT(D182:M182)</f>
        <v>1</v>
      </c>
      <c r="D182" s="116" t="str">
        <f>IFERROR(VLOOKUP($B182,'NCA Players Doubles'!$Z:$AB,3,FALSE),IFERROR(VLOOKUP($B182,'NCA Players Doubles'!$AA:$AB,2,FALSE),""))</f>
        <v/>
      </c>
      <c r="E182" s="4" t="str">
        <f>IFERROR(VLOOKUP($B182,'NCA Players Singles'!$V:$W,2,FALSE),"")</f>
        <v/>
      </c>
      <c r="F182" s="33" t="str">
        <f>IFERROR(VLOOKUP($B182,Belleville!$U:$V,2,FALSE),"")</f>
        <v/>
      </c>
      <c r="G182" s="187" t="str">
        <f>IFERROR(VLOOKUP($B182,'Owen Sound'!$Z:$AA,2,FALSE),"")</f>
        <v/>
      </c>
      <c r="H182" s="187" t="str">
        <f>IFERROR(VLOOKUP($B182,ODCC!O:P,2,FALSE),"")</f>
        <v/>
      </c>
      <c r="I182" s="187" t="str">
        <f>IFERROR(VLOOKUP($B182,Elmira!S:T,2,FALSE),"")</f>
        <v/>
      </c>
      <c r="J182" s="187" t="str">
        <f>IFERROR(VLOOKUP($B182,Chatham!K:L,2,FALSE),"")</f>
        <v/>
      </c>
      <c r="K182" s="187" t="str">
        <f>IFERROR(VLOOKUP($B182,London!AM:AN,2,FALSE),"")</f>
        <v/>
      </c>
      <c r="L182" s="187">
        <f>IFERROR(VLOOKUP($B182,'US Open'!A:B,2,FALSE),"")</f>
        <v>20</v>
      </c>
      <c r="M182" s="25" t="str">
        <f>IFERROR(VLOOKUP($B182,'Ontario Singles'!A:B,2,FALSE),"")</f>
        <v/>
      </c>
      <c r="N182" s="10"/>
      <c r="O182" s="19">
        <f>IFERROR(LARGE(D182:M182,1),0)+IFERROR(LARGE(D182:M182,2),0)+IFERROR(LARGE(D182:M182,3),0)+IFERROR(LARGE(D182:M182,4),0)</f>
        <v>20</v>
      </c>
      <c r="P182" s="20">
        <f>SUM(D182:M182)/C182</f>
        <v>20</v>
      </c>
      <c r="Q182" s="21"/>
    </row>
    <row r="183" spans="1:21" s="8" customFormat="1" ht="18" thickBot="1">
      <c r="A183" s="15">
        <f>RANK(O183,O$5:O$197)</f>
        <v>137</v>
      </c>
      <c r="B183" s="3" t="s">
        <v>496</v>
      </c>
      <c r="C183" s="17">
        <f>COUNT(D183:M183)</f>
        <v>1</v>
      </c>
      <c r="D183" s="116" t="str">
        <f>IFERROR(VLOOKUP($B183,'NCA Players Doubles'!$Z:$AB,3,FALSE),IFERROR(VLOOKUP($B183,'NCA Players Doubles'!$AA:$AB,2,FALSE),""))</f>
        <v/>
      </c>
      <c r="E183" s="4" t="str">
        <f>IFERROR(VLOOKUP($B183,'NCA Players Singles'!$V:$W,2,FALSE),"")</f>
        <v/>
      </c>
      <c r="F183" s="24" t="str">
        <f>IFERROR(VLOOKUP($B183,Belleville!$U:$V,2,FALSE),"")</f>
        <v/>
      </c>
      <c r="G183" s="187" t="str">
        <f>IFERROR(VLOOKUP($B183,'Owen Sound'!$Z:$AA,2,FALSE),"")</f>
        <v/>
      </c>
      <c r="H183" s="187" t="str">
        <f>IFERROR(VLOOKUP($B183,ODCC!O:P,2,FALSE),"")</f>
        <v/>
      </c>
      <c r="I183" s="187" t="str">
        <f>IFERROR(VLOOKUP($B183,Elmira!S:T,2,FALSE),"")</f>
        <v/>
      </c>
      <c r="J183" s="187" t="str">
        <f>IFERROR(VLOOKUP($B183,Chatham!K:L,2,FALSE),"")</f>
        <v/>
      </c>
      <c r="K183" s="187" t="str">
        <f>IFERROR(VLOOKUP($B183,London!AM:AN,2,FALSE),"")</f>
        <v/>
      </c>
      <c r="L183" s="187">
        <f>IFERROR(VLOOKUP($B183,'US Open'!A:B,2,FALSE),"")</f>
        <v>20</v>
      </c>
      <c r="M183" s="25" t="str">
        <f>IFERROR(VLOOKUP($B183,'Ontario Singles'!A:B,2,FALSE),"")</f>
        <v/>
      </c>
      <c r="N183" s="10"/>
      <c r="O183" s="19">
        <f>IFERROR(LARGE(D183:M183,1),0)+IFERROR(LARGE(D183:M183,2),0)+IFERROR(LARGE(D183:M183,3),0)+IFERROR(LARGE(D183:M183,4),0)</f>
        <v>20</v>
      </c>
      <c r="P183" s="20">
        <f>SUM(D183:M183)/C183</f>
        <v>20</v>
      </c>
    </row>
    <row r="184" spans="1:21" s="8" customFormat="1" ht="18" thickBot="1">
      <c r="A184" s="15">
        <f>RANK(O184,O$5:O$197)</f>
        <v>137</v>
      </c>
      <c r="B184" s="3" t="s">
        <v>497</v>
      </c>
      <c r="C184" s="17">
        <f>COUNT(D184:M184)</f>
        <v>1</v>
      </c>
      <c r="D184" s="116" t="str">
        <f>IFERROR(VLOOKUP($B184,'NCA Players Doubles'!$Z:$AB,3,FALSE),IFERROR(VLOOKUP($B184,'NCA Players Doubles'!$AA:$AB,2,FALSE),""))</f>
        <v/>
      </c>
      <c r="E184" s="4" t="str">
        <f>IFERROR(VLOOKUP($B184,'NCA Players Singles'!$V:$W,2,FALSE),"")</f>
        <v/>
      </c>
      <c r="F184" s="24" t="str">
        <f>IFERROR(VLOOKUP($B184,Belleville!$U:$V,2,FALSE),"")</f>
        <v/>
      </c>
      <c r="G184" s="187" t="str">
        <f>IFERROR(VLOOKUP($B184,'Owen Sound'!$Z:$AA,2,FALSE),"")</f>
        <v/>
      </c>
      <c r="H184" s="187" t="str">
        <f>IFERROR(VLOOKUP($B184,ODCC!O:P,2,FALSE),"")</f>
        <v/>
      </c>
      <c r="I184" s="187" t="str">
        <f>IFERROR(VLOOKUP($B184,Elmira!S:T,2,FALSE),"")</f>
        <v/>
      </c>
      <c r="J184" s="187" t="str">
        <f>IFERROR(VLOOKUP($B184,Chatham!K:L,2,FALSE),"")</f>
        <v/>
      </c>
      <c r="K184" s="187" t="str">
        <f>IFERROR(VLOOKUP($B184,London!AM:AN,2,FALSE),"")</f>
        <v/>
      </c>
      <c r="L184" s="187">
        <f>IFERROR(VLOOKUP($B184,'US Open'!A:B,2,FALSE),"")</f>
        <v>20</v>
      </c>
      <c r="M184" s="25" t="str">
        <f>IFERROR(VLOOKUP($B184,'Ontario Singles'!A:B,2,FALSE),"")</f>
        <v/>
      </c>
      <c r="N184" s="10"/>
      <c r="O184" s="19">
        <f>IFERROR(LARGE(D184:M184,1),0)+IFERROR(LARGE(D184:M184,2),0)+IFERROR(LARGE(D184:M184,3),0)+IFERROR(LARGE(D184:M184,4),0)</f>
        <v>20</v>
      </c>
      <c r="P184" s="20">
        <f>SUM(D184:M184)/C184</f>
        <v>20</v>
      </c>
    </row>
    <row r="185" spans="1:21" s="8" customFormat="1" ht="18" thickBot="1">
      <c r="A185" s="15">
        <f>RANK(O185,O$5:O$197)</f>
        <v>137</v>
      </c>
      <c r="B185" s="3" t="s">
        <v>498</v>
      </c>
      <c r="C185" s="17">
        <f>COUNT(D185:M185)</f>
        <v>1</v>
      </c>
      <c r="D185" s="116" t="str">
        <f>IFERROR(VLOOKUP($B185,'NCA Players Doubles'!$Z:$AB,3,FALSE),IFERROR(VLOOKUP($B185,'NCA Players Doubles'!$AA:$AB,2,FALSE),""))</f>
        <v/>
      </c>
      <c r="E185" s="4" t="str">
        <f>IFERROR(VLOOKUP($B185,'NCA Players Singles'!$V:$W,2,FALSE),"")</f>
        <v/>
      </c>
      <c r="F185" s="24" t="str">
        <f>IFERROR(VLOOKUP($B185,Belleville!$U:$V,2,FALSE),"")</f>
        <v/>
      </c>
      <c r="G185" s="187" t="str">
        <f>IFERROR(VLOOKUP($B185,'Owen Sound'!$Z:$AA,2,FALSE),"")</f>
        <v/>
      </c>
      <c r="H185" s="187" t="str">
        <f>IFERROR(VLOOKUP($B185,ODCC!O:P,2,FALSE),"")</f>
        <v/>
      </c>
      <c r="I185" s="187" t="str">
        <f>IFERROR(VLOOKUP($B185,Elmira!S:T,2,FALSE),"")</f>
        <v/>
      </c>
      <c r="J185" s="187" t="str">
        <f>IFERROR(VLOOKUP($B185,Chatham!K:L,2,FALSE),"")</f>
        <v/>
      </c>
      <c r="K185" s="187" t="str">
        <f>IFERROR(VLOOKUP($B185,London!AM:AN,2,FALSE),"")</f>
        <v/>
      </c>
      <c r="L185" s="187">
        <f>IFERROR(VLOOKUP($B185,'US Open'!A:B,2,FALSE),"")</f>
        <v>20</v>
      </c>
      <c r="M185" s="25" t="str">
        <f>IFERROR(VLOOKUP($B185,'Ontario Singles'!A:B,2,FALSE),"")</f>
        <v/>
      </c>
      <c r="N185" s="10"/>
      <c r="O185" s="19">
        <f>IFERROR(LARGE(D185:M185,1),0)+IFERROR(LARGE(D185:M185,2),0)+IFERROR(LARGE(D185:M185,3),0)+IFERROR(LARGE(D185:M185,4),0)</f>
        <v>20</v>
      </c>
      <c r="P185" s="20">
        <f>SUM(D185:M185)/C185</f>
        <v>20</v>
      </c>
    </row>
    <row r="186" spans="1:21" s="8" customFormat="1" ht="18" thickBot="1">
      <c r="A186" s="15">
        <f>RANK(O186,O$5:O$197)</f>
        <v>137</v>
      </c>
      <c r="B186" s="28" t="s">
        <v>499</v>
      </c>
      <c r="C186" s="17">
        <f>COUNT(D186:M186)</f>
        <v>1</v>
      </c>
      <c r="D186" s="116" t="str">
        <f>IFERROR(VLOOKUP($B186,'NCA Players Doubles'!$Z:$AB,3,FALSE),IFERROR(VLOOKUP($B186,'NCA Players Doubles'!$AA:$AB,2,FALSE),""))</f>
        <v/>
      </c>
      <c r="E186" s="4" t="str">
        <f>IFERROR(VLOOKUP($B186,'NCA Players Singles'!$V:$W,2,FALSE),"")</f>
        <v/>
      </c>
      <c r="F186" s="24" t="str">
        <f>IFERROR(VLOOKUP($B186,Belleville!$U:$V,2,FALSE),"")</f>
        <v/>
      </c>
      <c r="G186" s="187" t="str">
        <f>IFERROR(VLOOKUP($B186,'Owen Sound'!$Z:$AA,2,FALSE),"")</f>
        <v/>
      </c>
      <c r="H186" s="187" t="str">
        <f>IFERROR(VLOOKUP($B186,ODCC!O:P,2,FALSE),"")</f>
        <v/>
      </c>
      <c r="I186" s="187" t="str">
        <f>IFERROR(VLOOKUP($B186,Elmira!S:T,2,FALSE),"")</f>
        <v/>
      </c>
      <c r="J186" s="187" t="str">
        <f>IFERROR(VLOOKUP($B186,Chatham!K:L,2,FALSE),"")</f>
        <v/>
      </c>
      <c r="K186" s="187" t="str">
        <f>IFERROR(VLOOKUP($B186,London!AM:AN,2,FALSE),"")</f>
        <v/>
      </c>
      <c r="L186" s="187">
        <f>IFERROR(VLOOKUP($B186,'US Open'!A:B,2,FALSE),"")</f>
        <v>20</v>
      </c>
      <c r="M186" s="25" t="str">
        <f>IFERROR(VLOOKUP($B186,'Ontario Singles'!A:B,2,FALSE),"")</f>
        <v/>
      </c>
      <c r="N186" s="10"/>
      <c r="O186" s="19">
        <f>IFERROR(LARGE(D186:M186,1),0)+IFERROR(LARGE(D186:M186,2),0)+IFERROR(LARGE(D186:M186,3),0)+IFERROR(LARGE(D186:M186,4),0)</f>
        <v>20</v>
      </c>
      <c r="P186" s="20">
        <f>SUM(D186:M186)/C186</f>
        <v>20</v>
      </c>
    </row>
    <row r="187" spans="1:21" s="8" customFormat="1" ht="18" thickBot="1">
      <c r="A187" s="15">
        <f>RANK(O187,O$5:O$197)</f>
        <v>137</v>
      </c>
      <c r="B187" s="3" t="s">
        <v>500</v>
      </c>
      <c r="C187" s="17">
        <f>COUNT(D187:M187)</f>
        <v>1</v>
      </c>
      <c r="D187" s="116" t="str">
        <f>IFERROR(VLOOKUP($B187,'NCA Players Doubles'!$Z:$AB,3,FALSE),IFERROR(VLOOKUP($B187,'NCA Players Doubles'!$AA:$AB,2,FALSE),""))</f>
        <v/>
      </c>
      <c r="E187" s="4" t="str">
        <f>IFERROR(VLOOKUP($B187,'NCA Players Singles'!$V:$W,2,FALSE),"")</f>
        <v/>
      </c>
      <c r="F187" s="24" t="str">
        <f>IFERROR(VLOOKUP($B187,Belleville!$U:$V,2,FALSE),"")</f>
        <v/>
      </c>
      <c r="G187" s="187" t="str">
        <f>IFERROR(VLOOKUP($B187,'Owen Sound'!$Z:$AA,2,FALSE),"")</f>
        <v/>
      </c>
      <c r="H187" s="187" t="str">
        <f>IFERROR(VLOOKUP($B187,ODCC!O:P,2,FALSE),"")</f>
        <v/>
      </c>
      <c r="I187" s="187" t="str">
        <f>IFERROR(VLOOKUP($B187,Elmira!S:T,2,FALSE),"")</f>
        <v/>
      </c>
      <c r="J187" s="187" t="str">
        <f>IFERROR(VLOOKUP($B187,Chatham!K:L,2,FALSE),"")</f>
        <v/>
      </c>
      <c r="K187" s="187" t="str">
        <f>IFERROR(VLOOKUP($B187,London!AM:AN,2,FALSE),"")</f>
        <v/>
      </c>
      <c r="L187" s="187">
        <f>IFERROR(VLOOKUP($B187,'US Open'!A:B,2,FALSE),"")</f>
        <v>20</v>
      </c>
      <c r="M187" s="25" t="str">
        <f>IFERROR(VLOOKUP($B187,'Ontario Singles'!A:B,2,FALSE),"")</f>
        <v/>
      </c>
      <c r="N187" s="10"/>
      <c r="O187" s="19">
        <f>IFERROR(LARGE(D187:M187,1),0)+IFERROR(LARGE(D187:M187,2),0)+IFERROR(LARGE(D187:M187,3),0)+IFERROR(LARGE(D187:M187,4),0)</f>
        <v>20</v>
      </c>
      <c r="P187" s="20">
        <f>SUM(D187:M187)/C187</f>
        <v>20</v>
      </c>
    </row>
    <row r="188" spans="1:21" s="8" customFormat="1" ht="24" thickBot="1">
      <c r="A188" s="15">
        <f>RANK(O188,O$5:O$197)</f>
        <v>137</v>
      </c>
      <c r="B188" s="3" t="s">
        <v>501</v>
      </c>
      <c r="C188" s="17">
        <f>COUNT(D188:M188)</f>
        <v>1</v>
      </c>
      <c r="D188" s="116" t="str">
        <f>IFERROR(VLOOKUP($B188,'NCA Players Doubles'!$Z:$AB,3,FALSE),IFERROR(VLOOKUP($B188,'NCA Players Doubles'!$AA:$AB,2,FALSE),""))</f>
        <v/>
      </c>
      <c r="E188" s="4" t="str">
        <f>IFERROR(VLOOKUP($B188,'NCA Players Singles'!$V:$W,2,FALSE),"")</f>
        <v/>
      </c>
      <c r="F188" s="24" t="str">
        <f>IFERROR(VLOOKUP($B188,Belleville!$U:$V,2,FALSE),"")</f>
        <v/>
      </c>
      <c r="G188" s="187" t="str">
        <f>IFERROR(VLOOKUP($B188,'Owen Sound'!$Z:$AA,2,FALSE),"")</f>
        <v/>
      </c>
      <c r="H188" s="187" t="str">
        <f>IFERROR(VLOOKUP($B188,ODCC!O:P,2,FALSE),"")</f>
        <v/>
      </c>
      <c r="I188" s="187" t="str">
        <f>IFERROR(VLOOKUP($B188,Elmira!S:T,2,FALSE),"")</f>
        <v/>
      </c>
      <c r="J188" s="187" t="str">
        <f>IFERROR(VLOOKUP($B188,Chatham!K:L,2,FALSE),"")</f>
        <v/>
      </c>
      <c r="K188" s="187" t="str">
        <f>IFERROR(VLOOKUP($B188,London!AM:AN,2,FALSE),"")</f>
        <v/>
      </c>
      <c r="L188" s="187">
        <f>IFERROR(VLOOKUP($B188,'US Open'!A:B,2,FALSE),"")</f>
        <v>20</v>
      </c>
      <c r="M188" s="25" t="str">
        <f>IFERROR(VLOOKUP($B188,'Ontario Singles'!A:B,2,FALSE),"")</f>
        <v/>
      </c>
      <c r="N188" s="10"/>
      <c r="O188" s="19">
        <f>IFERROR(LARGE(D188:M188,1),0)+IFERROR(LARGE(D188:M188,2),0)+IFERROR(LARGE(D188:M188,3),0)+IFERROR(LARGE(D188:M188,4),0)</f>
        <v>20</v>
      </c>
      <c r="P188" s="20">
        <f>SUM(D188:M188)/C188</f>
        <v>20</v>
      </c>
    </row>
    <row r="189" spans="1:21" s="8" customFormat="1" ht="18" thickBot="1">
      <c r="A189" s="15">
        <f>RANK(O189,O$5:O$197)</f>
        <v>137</v>
      </c>
      <c r="B189" s="41" t="s">
        <v>502</v>
      </c>
      <c r="C189" s="17">
        <f>COUNT(D189:M189)</f>
        <v>1</v>
      </c>
      <c r="D189" s="116" t="str">
        <f>IFERROR(VLOOKUP($B189,'NCA Players Doubles'!$Z:$AB,3,FALSE),IFERROR(VLOOKUP($B189,'NCA Players Doubles'!$AA:$AB,2,FALSE),""))</f>
        <v/>
      </c>
      <c r="E189" s="4" t="str">
        <f>IFERROR(VLOOKUP($B189,'NCA Players Singles'!$V:$W,2,FALSE),"")</f>
        <v/>
      </c>
      <c r="F189" s="24" t="str">
        <f>IFERROR(VLOOKUP($B189,Belleville!$U:$V,2,FALSE),"")</f>
        <v/>
      </c>
      <c r="G189" s="187" t="str">
        <f>IFERROR(VLOOKUP($B189,'Owen Sound'!$Z:$AA,2,FALSE),"")</f>
        <v/>
      </c>
      <c r="H189" s="187" t="str">
        <f>IFERROR(VLOOKUP($B189,ODCC!O:P,2,FALSE),"")</f>
        <v/>
      </c>
      <c r="I189" s="187" t="str">
        <f>IFERROR(VLOOKUP($B189,Elmira!S:T,2,FALSE),"")</f>
        <v/>
      </c>
      <c r="J189" s="187" t="str">
        <f>IFERROR(VLOOKUP($B189,Chatham!K:L,2,FALSE),"")</f>
        <v/>
      </c>
      <c r="K189" s="187" t="str">
        <f>IFERROR(VLOOKUP($B189,London!AM:AN,2,FALSE),"")</f>
        <v/>
      </c>
      <c r="L189" s="187">
        <f>IFERROR(VLOOKUP($B189,'US Open'!A:B,2,FALSE),"")</f>
        <v>20</v>
      </c>
      <c r="M189" s="25" t="str">
        <f>IFERROR(VLOOKUP($B189,'Ontario Singles'!A:B,2,FALSE),"")</f>
        <v/>
      </c>
      <c r="N189" s="10"/>
      <c r="O189" s="19">
        <f>IFERROR(LARGE(D189:M189,1),0)+IFERROR(LARGE(D189:M189,2),0)+IFERROR(LARGE(D189:M189,3),0)+IFERROR(LARGE(D189:M189,4),0)</f>
        <v>20</v>
      </c>
      <c r="P189" s="20">
        <f>SUM(D189:M189)/C189</f>
        <v>20</v>
      </c>
    </row>
    <row r="190" spans="1:21" s="8" customFormat="1" ht="18" thickBot="1">
      <c r="A190" s="15">
        <f>RANK(O190,O$5:O$197)</f>
        <v>137</v>
      </c>
      <c r="B190" s="34" t="s">
        <v>533</v>
      </c>
      <c r="C190" s="17">
        <f>COUNT(D190:M190)</f>
        <v>1</v>
      </c>
      <c r="D190" s="116" t="str">
        <f>IFERROR(VLOOKUP($B190,'NCA Players Doubles'!$Z:$AB,3,FALSE),IFERROR(VLOOKUP($B190,'NCA Players Doubles'!$AA:$AB,2,FALSE),""))</f>
        <v/>
      </c>
      <c r="E190" s="4" t="str">
        <f>IFERROR(VLOOKUP($B190,'NCA Players Singles'!$V:$W,2,FALSE),"")</f>
        <v/>
      </c>
      <c r="F190" s="24" t="str">
        <f>IFERROR(VLOOKUP($B190,Belleville!$U:$V,2,FALSE),"")</f>
        <v/>
      </c>
      <c r="G190" s="187" t="str">
        <f>IFERROR(VLOOKUP($B190,'Owen Sound'!$Z:$AA,2,FALSE),"")</f>
        <v/>
      </c>
      <c r="H190" s="187" t="str">
        <f>IFERROR(VLOOKUP($B190,ODCC!O:P,2,FALSE),"")</f>
        <v/>
      </c>
      <c r="I190" s="187" t="str">
        <f>IFERROR(VLOOKUP($B190,Elmira!S:T,2,FALSE),"")</f>
        <v/>
      </c>
      <c r="J190" s="187" t="str">
        <f>IFERROR(VLOOKUP($B190,Chatham!K:L,2,FALSE),"")</f>
        <v/>
      </c>
      <c r="K190" s="187" t="str">
        <f>IFERROR(VLOOKUP($B190,London!AM:AN,2,FALSE),"")</f>
        <v/>
      </c>
      <c r="L190" s="187" t="str">
        <f>IFERROR(VLOOKUP($B190,'US Open'!A:B,2,FALSE),"")</f>
        <v/>
      </c>
      <c r="M190" s="25">
        <f>IFERROR(VLOOKUP($B190,'Ontario Singles'!A:B,2,FALSE),"")</f>
        <v>20</v>
      </c>
      <c r="N190" s="10"/>
      <c r="O190" s="19">
        <f>IFERROR(LARGE(D190:M190,1),0)+IFERROR(LARGE(D190:M190,2),0)+IFERROR(LARGE(D190:M190,3),0)+IFERROR(LARGE(D190:M190,4),0)</f>
        <v>20</v>
      </c>
      <c r="P190" s="20">
        <f>SUM(D190:M190)/C190</f>
        <v>20</v>
      </c>
    </row>
    <row r="191" spans="1:21" s="8" customFormat="1" ht="18" thickBot="1">
      <c r="A191" s="15">
        <f>RANK(O191,O$5:O$197)</f>
        <v>137</v>
      </c>
      <c r="B191" s="3" t="s">
        <v>534</v>
      </c>
      <c r="C191" s="17">
        <f>COUNT(D191:M191)</f>
        <v>1</v>
      </c>
      <c r="D191" s="116" t="str">
        <f>IFERROR(VLOOKUP($B191,'NCA Players Doubles'!$Z:$AB,3,FALSE),IFERROR(VLOOKUP($B191,'NCA Players Doubles'!$AA:$AB,2,FALSE),""))</f>
        <v/>
      </c>
      <c r="E191" s="4" t="str">
        <f>IFERROR(VLOOKUP($B191,'NCA Players Singles'!$V:$W,2,FALSE),"")</f>
        <v/>
      </c>
      <c r="F191" s="24" t="str">
        <f>IFERROR(VLOOKUP($B191,Belleville!$U:$V,2,FALSE),"")</f>
        <v/>
      </c>
      <c r="G191" s="187" t="str">
        <f>IFERROR(VLOOKUP($B191,'Owen Sound'!$Z:$AA,2,FALSE),"")</f>
        <v/>
      </c>
      <c r="H191" s="187" t="str">
        <f>IFERROR(VLOOKUP($B191,ODCC!O:P,2,FALSE),"")</f>
        <v/>
      </c>
      <c r="I191" s="187" t="str">
        <f>IFERROR(VLOOKUP($B191,Elmira!S:T,2,FALSE),"")</f>
        <v/>
      </c>
      <c r="J191" s="187" t="str">
        <f>IFERROR(VLOOKUP($B191,Chatham!K:L,2,FALSE),"")</f>
        <v/>
      </c>
      <c r="K191" s="187" t="str">
        <f>IFERROR(VLOOKUP($B191,London!AM:AN,2,FALSE),"")</f>
        <v/>
      </c>
      <c r="L191" s="187" t="str">
        <f>IFERROR(VLOOKUP($B191,'US Open'!A:B,2,FALSE),"")</f>
        <v/>
      </c>
      <c r="M191" s="25">
        <f>IFERROR(VLOOKUP($B191,'Ontario Singles'!A:B,2,FALSE),"")</f>
        <v>20</v>
      </c>
      <c r="N191" s="10"/>
      <c r="O191" s="19">
        <f>IFERROR(LARGE(D191:M191,1),0)+IFERROR(LARGE(D191:M191,2),0)+IFERROR(LARGE(D191:M191,3),0)+IFERROR(LARGE(D191:M191,4),0)</f>
        <v>20</v>
      </c>
      <c r="P191" s="20">
        <f>SUM(D191:M191)/C191</f>
        <v>20</v>
      </c>
    </row>
    <row r="192" spans="1:21" s="8" customFormat="1" ht="18.75" customHeight="1" thickBot="1">
      <c r="A192" s="15">
        <f>RANK(O192,O$5:O$197)</f>
        <v>137</v>
      </c>
      <c r="B192" s="3" t="s">
        <v>535</v>
      </c>
      <c r="C192" s="17">
        <f>COUNT(D192:M192)</f>
        <v>1</v>
      </c>
      <c r="D192" s="116" t="str">
        <f>IFERROR(VLOOKUP($B192,'NCA Players Doubles'!$Z:$AB,3,FALSE),IFERROR(VLOOKUP($B192,'NCA Players Doubles'!$AA:$AB,2,FALSE),""))</f>
        <v/>
      </c>
      <c r="E192" s="4" t="str">
        <f>IFERROR(VLOOKUP($B192,'NCA Players Singles'!$V:$W,2,FALSE),"")</f>
        <v/>
      </c>
      <c r="F192" s="24" t="str">
        <f>IFERROR(VLOOKUP($B192,Belleville!$U:$V,2,FALSE),"")</f>
        <v/>
      </c>
      <c r="G192" s="187" t="str">
        <f>IFERROR(VLOOKUP($B192,'Owen Sound'!$Z:$AA,2,FALSE),"")</f>
        <v/>
      </c>
      <c r="H192" s="187" t="str">
        <f>IFERROR(VLOOKUP($B192,ODCC!O:P,2,FALSE),"")</f>
        <v/>
      </c>
      <c r="I192" s="187" t="str">
        <f>IFERROR(VLOOKUP($B192,Elmira!S:T,2,FALSE),"")</f>
        <v/>
      </c>
      <c r="J192" s="187" t="str">
        <f>IFERROR(VLOOKUP($B192,Chatham!K:L,2,FALSE),"")</f>
        <v/>
      </c>
      <c r="K192" s="187" t="str">
        <f>IFERROR(VLOOKUP($B192,London!AM:AN,2,FALSE),"")</f>
        <v/>
      </c>
      <c r="L192" s="187" t="str">
        <f>IFERROR(VLOOKUP($B192,'US Open'!A:B,2,FALSE),"")</f>
        <v/>
      </c>
      <c r="M192" s="25">
        <f>IFERROR(VLOOKUP($B192,'Ontario Singles'!A:B,2,FALSE),"")</f>
        <v>20</v>
      </c>
      <c r="N192" s="10"/>
      <c r="O192" s="19">
        <f>IFERROR(LARGE(D192:M192,1),0)+IFERROR(LARGE(D192:M192,2),0)+IFERROR(LARGE(D192:M192,3),0)+IFERROR(LARGE(D192:M192,4),0)</f>
        <v>20</v>
      </c>
      <c r="P192" s="20">
        <f>SUM(D192:M192)/C192</f>
        <v>20</v>
      </c>
    </row>
    <row r="193" spans="1:26" s="8" customFormat="1" ht="18.75" customHeight="1" thickBot="1">
      <c r="A193" s="15">
        <f>RANK(O193,O$5:O$197)</f>
        <v>189</v>
      </c>
      <c r="B193" s="3"/>
      <c r="C193" s="17">
        <f>COUNT(D193:M193)</f>
        <v>0</v>
      </c>
      <c r="D193" s="116" t="str">
        <f>IFERROR(VLOOKUP($B193,'NCA Players Doubles'!$Z:$AB,3,FALSE),IFERROR(VLOOKUP($B193,'NCA Players Doubles'!$AA:$AB,2,FALSE),""))</f>
        <v/>
      </c>
      <c r="E193" s="4" t="str">
        <f>IFERROR(VLOOKUP($B193,'NCA Players Singles'!$V:$W,2,FALSE),"")</f>
        <v/>
      </c>
      <c r="F193" s="24" t="str">
        <f>IFERROR(VLOOKUP($B193,Belleville!$U:$V,2,FALSE),"")</f>
        <v/>
      </c>
      <c r="G193" s="187" t="str">
        <f>IFERROR(VLOOKUP($B193,'Owen Sound'!$Z:$AA,2,FALSE),"")</f>
        <v/>
      </c>
      <c r="H193" s="187" t="str">
        <f>IFERROR(VLOOKUP($B193,ODCC!O:P,2,FALSE),"")</f>
        <v/>
      </c>
      <c r="I193" s="187" t="str">
        <f>IFERROR(VLOOKUP($B193,Elmira!S:T,2,FALSE),"")</f>
        <v/>
      </c>
      <c r="J193" s="187" t="str">
        <f>IFERROR(VLOOKUP($B193,Chatham!K:L,2,FALSE),"")</f>
        <v/>
      </c>
      <c r="K193" s="187" t="str">
        <f>IFERROR(VLOOKUP($B193,London!AM:AN,2,FALSE),"")</f>
        <v/>
      </c>
      <c r="L193" s="187" t="str">
        <f>IFERROR(VLOOKUP($B193,'US Open'!A:B,2,FALSE),"")</f>
        <v/>
      </c>
      <c r="M193" s="25" t="str">
        <f>IFERROR(VLOOKUP($B193,'Ontario Singles'!A:B,2,FALSE),"")</f>
        <v/>
      </c>
      <c r="N193" s="10"/>
      <c r="O193" s="19">
        <f>IFERROR(LARGE(D193:M193,1),0)+IFERROR(LARGE(D193:M193,2),0)+IFERROR(LARGE(D193:M193,3),0)+IFERROR(LARGE(D193:M193,4),0)</f>
        <v>0</v>
      </c>
      <c r="P193" s="20" t="e">
        <f>SUM(D193:M193)/C193</f>
        <v>#DIV/0!</v>
      </c>
    </row>
    <row r="194" spans="1:26" s="8" customFormat="1" ht="18.75" customHeight="1" thickBot="1">
      <c r="A194" s="15">
        <f>RANK(O194,O$5:O$197)</f>
        <v>189</v>
      </c>
      <c r="B194" s="34"/>
      <c r="C194" s="17">
        <f>COUNT(D194:M194)</f>
        <v>0</v>
      </c>
      <c r="D194" s="116" t="str">
        <f>IFERROR(VLOOKUP($B194,'NCA Players Doubles'!$Z:$AB,3,FALSE),IFERROR(VLOOKUP($B194,'NCA Players Doubles'!$AA:$AB,2,FALSE),""))</f>
        <v/>
      </c>
      <c r="E194" s="4" t="str">
        <f>IFERROR(VLOOKUP($B194,'NCA Players Singles'!$V:$W,2,FALSE),"")</f>
        <v/>
      </c>
      <c r="F194" s="24" t="str">
        <f>IFERROR(VLOOKUP($B194,Belleville!$U:$V,2,FALSE),"")</f>
        <v/>
      </c>
      <c r="G194" s="187" t="str">
        <f>IFERROR(VLOOKUP($B194,'Owen Sound'!$Z:$AA,2,FALSE),"")</f>
        <v/>
      </c>
      <c r="H194" s="187" t="str">
        <f>IFERROR(VLOOKUP($B194,ODCC!O:P,2,FALSE),"")</f>
        <v/>
      </c>
      <c r="I194" s="187" t="str">
        <f>IFERROR(VLOOKUP($B194,Elmira!S:T,2,FALSE),"")</f>
        <v/>
      </c>
      <c r="J194" s="187" t="str">
        <f>IFERROR(VLOOKUP($B194,Chatham!K:L,2,FALSE),"")</f>
        <v/>
      </c>
      <c r="K194" s="187" t="str">
        <f>IFERROR(VLOOKUP($B194,London!AM:AN,2,FALSE),"")</f>
        <v/>
      </c>
      <c r="L194" s="187" t="str">
        <f>IFERROR(VLOOKUP($B194,'US Open'!A:B,2,FALSE),"")</f>
        <v/>
      </c>
      <c r="M194" s="25" t="str">
        <f>IFERROR(VLOOKUP($B194,'Ontario Singles'!A:B,2,FALSE),"")</f>
        <v/>
      </c>
      <c r="N194" s="10"/>
      <c r="O194" s="19">
        <f>IFERROR(LARGE(D194:M194,1),0)+IFERROR(LARGE(D194:M194,2),0)+IFERROR(LARGE(D194:M194,3),0)+IFERROR(LARGE(D194:M194,4),0)</f>
        <v>0</v>
      </c>
      <c r="P194" s="20" t="e">
        <f>SUM(D194:M194)/C194</f>
        <v>#DIV/0!</v>
      </c>
    </row>
    <row r="195" spans="1:26" s="8" customFormat="1" ht="18.75" customHeight="1" thickBot="1">
      <c r="A195" s="15">
        <f>RANK(O195,O$5:O$197)</f>
        <v>189</v>
      </c>
      <c r="B195" s="34"/>
      <c r="C195" s="17">
        <f>COUNT(D195:M195)</f>
        <v>0</v>
      </c>
      <c r="D195" s="116" t="str">
        <f>IFERROR(VLOOKUP($B195,'NCA Players Doubles'!$Z:$AB,3,FALSE),IFERROR(VLOOKUP($B195,'NCA Players Doubles'!$AA:$AB,2,FALSE),""))</f>
        <v/>
      </c>
      <c r="E195" s="4" t="str">
        <f>IFERROR(VLOOKUP($B195,'NCA Players Singles'!$V:$W,2,FALSE),"")</f>
        <v/>
      </c>
      <c r="F195" s="24" t="str">
        <f>IFERROR(VLOOKUP($B195,Belleville!$U:$V,2,FALSE),"")</f>
        <v/>
      </c>
      <c r="G195" s="187" t="str">
        <f>IFERROR(VLOOKUP($B195,'Owen Sound'!$Z:$AA,2,FALSE),"")</f>
        <v/>
      </c>
      <c r="H195" s="187" t="str">
        <f>IFERROR(VLOOKUP($B195,ODCC!O:P,2,FALSE),"")</f>
        <v/>
      </c>
      <c r="I195" s="187" t="str">
        <f>IFERROR(VLOOKUP($B195,Elmira!S:T,2,FALSE),"")</f>
        <v/>
      </c>
      <c r="J195" s="187" t="str">
        <f>IFERROR(VLOOKUP($B195,Chatham!K:L,2,FALSE),"")</f>
        <v/>
      </c>
      <c r="K195" s="187" t="str">
        <f>IFERROR(VLOOKUP($B195,London!AM:AN,2,FALSE),"")</f>
        <v/>
      </c>
      <c r="L195" s="187" t="str">
        <f>IFERROR(VLOOKUP($B195,'US Open'!A:B,2,FALSE),"")</f>
        <v/>
      </c>
      <c r="M195" s="25" t="str">
        <f>IFERROR(VLOOKUP($B195,'Ontario Singles'!A:B,2,FALSE),"")</f>
        <v/>
      </c>
      <c r="N195" s="10"/>
      <c r="O195" s="19">
        <f>IFERROR(LARGE(D195:M195,1),0)+IFERROR(LARGE(D195:M195,2),0)+IFERROR(LARGE(D195:M195,3),0)+IFERROR(LARGE(D195:M195,4),0)</f>
        <v>0</v>
      </c>
      <c r="P195" s="20" t="e">
        <f>SUM(D195:M195)/C195</f>
        <v>#DIV/0!</v>
      </c>
    </row>
    <row r="196" spans="1:26" s="8" customFormat="1" ht="18.75" customHeight="1" thickBot="1">
      <c r="A196" s="15">
        <f>RANK(O196,O$5:O$197)</f>
        <v>189</v>
      </c>
      <c r="B196" s="28"/>
      <c r="C196" s="17">
        <f>COUNT(D196:M196)</f>
        <v>0</v>
      </c>
      <c r="D196" s="116" t="str">
        <f>IFERROR(VLOOKUP($B196,'NCA Players Doubles'!$Z:$AB,3,FALSE),IFERROR(VLOOKUP($B196,'NCA Players Doubles'!$AA:$AB,2,FALSE),""))</f>
        <v/>
      </c>
      <c r="E196" s="4" t="str">
        <f>IFERROR(VLOOKUP($B196,'NCA Players Singles'!$V:$W,2,FALSE),"")</f>
        <v/>
      </c>
      <c r="F196" s="24" t="str">
        <f>IFERROR(VLOOKUP($B196,Belleville!$U:$V,2,FALSE),"")</f>
        <v/>
      </c>
      <c r="G196" s="187" t="str">
        <f>IFERROR(VLOOKUP($B196,'Owen Sound'!$Z:$AA,2,FALSE),"")</f>
        <v/>
      </c>
      <c r="H196" s="187" t="str">
        <f>IFERROR(VLOOKUP($B196,ODCC!O:P,2,FALSE),"")</f>
        <v/>
      </c>
      <c r="I196" s="187" t="str">
        <f>IFERROR(VLOOKUP($B196,Elmira!S:T,2,FALSE),"")</f>
        <v/>
      </c>
      <c r="J196" s="187" t="str">
        <f>IFERROR(VLOOKUP($B196,Chatham!K:L,2,FALSE),"")</f>
        <v/>
      </c>
      <c r="K196" s="187" t="str">
        <f>IFERROR(VLOOKUP($B196,London!AM:AN,2,FALSE),"")</f>
        <v/>
      </c>
      <c r="L196" s="187" t="str">
        <f>IFERROR(VLOOKUP($B196,'US Open'!A:B,2,FALSE),"")</f>
        <v/>
      </c>
      <c r="M196" s="25" t="str">
        <f>IFERROR(VLOOKUP($B196,'Ontario Singles'!A:B,2,FALSE),"")</f>
        <v/>
      </c>
      <c r="N196" s="10"/>
      <c r="O196" s="19">
        <f>IFERROR(LARGE(D196:M196,1),0)+IFERROR(LARGE(D196:M196,2),0)+IFERROR(LARGE(D196:M196,3),0)+IFERROR(LARGE(D196:M196,4),0)</f>
        <v>0</v>
      </c>
      <c r="P196" s="20" t="e">
        <f>SUM(D196:M196)/C196</f>
        <v>#DIV/0!</v>
      </c>
      <c r="Q196" s="21"/>
      <c r="W196" s="32"/>
      <c r="X196" s="32"/>
      <c r="Y196" s="32"/>
      <c r="Z196" s="22"/>
    </row>
    <row r="197" spans="1:26" s="8" customFormat="1" ht="18.75" customHeight="1" thickBot="1">
      <c r="A197" s="15">
        <f>RANK(O197,O$5:O$197)</f>
        <v>189</v>
      </c>
      <c r="B197" s="3"/>
      <c r="C197" s="17">
        <f>COUNT(D197:M197)</f>
        <v>0</v>
      </c>
      <c r="D197" s="116" t="str">
        <f>IFERROR(VLOOKUP($B197,'NCA Players Doubles'!$Z:$AB,3,FALSE),IFERROR(VLOOKUP($B197,'NCA Players Doubles'!$AA:$AB,2,FALSE),""))</f>
        <v/>
      </c>
      <c r="E197" s="4" t="str">
        <f>IFERROR(VLOOKUP($B197,'NCA Players Singles'!$V:$W,2,FALSE),"")</f>
        <v/>
      </c>
      <c r="F197" s="24" t="str">
        <f>IFERROR(VLOOKUP($B197,Belleville!$U:$V,2,FALSE),"")</f>
        <v/>
      </c>
      <c r="G197" s="187" t="str">
        <f>IFERROR(VLOOKUP($B197,'Owen Sound'!$Z:$AA,2,FALSE),"")</f>
        <v/>
      </c>
      <c r="H197" s="187" t="str">
        <f>IFERROR(VLOOKUP($B197,ODCC!O:P,2,FALSE),"")</f>
        <v/>
      </c>
      <c r="I197" s="187" t="str">
        <f>IFERROR(VLOOKUP($B197,Elmira!S:T,2,FALSE),"")</f>
        <v/>
      </c>
      <c r="J197" s="187" t="str">
        <f>IFERROR(VLOOKUP($B197,Chatham!K:L,2,FALSE),"")</f>
        <v/>
      </c>
      <c r="K197" s="187" t="str">
        <f>IFERROR(VLOOKUP($B197,London!AM:AN,2,FALSE),"")</f>
        <v/>
      </c>
      <c r="L197" s="187" t="str">
        <f>IFERROR(VLOOKUP($B197,'US Open'!A:B,2,FALSE),"")</f>
        <v/>
      </c>
      <c r="M197" s="25" t="str">
        <f>IFERROR(VLOOKUP($B197,'Ontario Singles'!A:B,2,FALSE),"")</f>
        <v/>
      </c>
      <c r="N197" s="10"/>
      <c r="O197" s="19">
        <f>IFERROR(LARGE(D197:M197,1),0)+IFERROR(LARGE(D197:M197,2),0)+IFERROR(LARGE(D197:M197,3),0)+IFERROR(LARGE(D197:M197,4),0)</f>
        <v>0</v>
      </c>
      <c r="P197" s="20" t="e">
        <f>SUM(D197:M197)/C197</f>
        <v>#DIV/0!</v>
      </c>
      <c r="Q197" s="21"/>
      <c r="W197" s="32"/>
      <c r="X197" s="32"/>
      <c r="Y197" s="32"/>
      <c r="Z197" s="22"/>
    </row>
    <row r="198" spans="1:26" s="8" customFormat="1" ht="18.75" customHeight="1">
      <c r="A198" s="10"/>
      <c r="B198" s="3"/>
      <c r="C198" s="28"/>
      <c r="D198" s="10"/>
      <c r="E198" s="35"/>
      <c r="F198" s="10"/>
      <c r="G198" s="10"/>
      <c r="H198" s="10"/>
      <c r="I198" s="10"/>
      <c r="J198" s="10"/>
      <c r="K198" s="10"/>
      <c r="L198" s="10"/>
      <c r="M198" s="10"/>
      <c r="N198" s="10"/>
      <c r="O198" s="21"/>
      <c r="P198" s="29"/>
      <c r="Q198" s="21"/>
      <c r="W198" s="32"/>
      <c r="X198" s="32"/>
      <c r="Y198" s="32"/>
      <c r="Z198" s="22"/>
    </row>
    <row r="199" spans="1:26" s="8" customFormat="1" ht="18.75" customHeight="1">
      <c r="A199" s="10"/>
      <c r="B199" s="3"/>
      <c r="C199" s="28"/>
      <c r="D199" s="40"/>
      <c r="E199" s="35"/>
      <c r="F199" s="40"/>
      <c r="G199" s="40"/>
      <c r="H199" s="40"/>
      <c r="I199" s="40"/>
      <c r="J199" s="40"/>
      <c r="K199" s="40"/>
      <c r="L199" s="40"/>
      <c r="M199" s="10"/>
      <c r="N199" s="10"/>
      <c r="O199" s="21"/>
      <c r="P199" s="29"/>
      <c r="Q199" s="21"/>
      <c r="W199" s="32"/>
      <c r="X199" s="32"/>
      <c r="Y199" s="32"/>
      <c r="Z199" s="22"/>
    </row>
    <row r="200" spans="1:26" s="8" customFormat="1" ht="18.75" customHeight="1">
      <c r="A200" s="10"/>
      <c r="B200" s="3"/>
      <c r="C200" s="28"/>
      <c r="D200" s="40"/>
      <c r="E200" s="35"/>
      <c r="F200" s="40"/>
      <c r="G200" s="40"/>
      <c r="H200" s="40"/>
      <c r="I200" s="40"/>
      <c r="J200" s="40"/>
      <c r="K200" s="40"/>
      <c r="L200" s="40"/>
      <c r="M200" s="10"/>
      <c r="N200" s="10"/>
      <c r="O200" s="21"/>
      <c r="P200" s="29"/>
      <c r="Q200" s="21"/>
      <c r="W200" s="32"/>
      <c r="X200" s="32"/>
      <c r="Y200" s="32"/>
      <c r="Z200" s="22"/>
    </row>
    <row r="201" spans="1:26" s="8" customFormat="1" ht="18.75" customHeight="1">
      <c r="A201" s="10"/>
      <c r="B201" s="3"/>
      <c r="C201" s="28"/>
      <c r="D201" s="40"/>
      <c r="E201" s="35"/>
      <c r="F201" s="40"/>
      <c r="G201" s="40"/>
      <c r="H201" s="40"/>
      <c r="I201" s="40"/>
      <c r="J201" s="40"/>
      <c r="K201" s="40"/>
      <c r="L201" s="40"/>
      <c r="M201" s="10"/>
      <c r="N201" s="10"/>
      <c r="O201" s="21"/>
      <c r="P201" s="29"/>
      <c r="Q201" s="21"/>
    </row>
    <row r="202" spans="1:26" s="8" customFormat="1" ht="18.75" customHeight="1">
      <c r="A202" s="10"/>
      <c r="B202" s="3"/>
      <c r="C202" s="28"/>
      <c r="D202" s="10"/>
      <c r="E202" s="35"/>
      <c r="F202" s="10"/>
      <c r="G202" s="10"/>
      <c r="H202" s="10"/>
      <c r="I202" s="10"/>
      <c r="J202" s="10"/>
      <c r="K202" s="10"/>
      <c r="L202" s="10"/>
      <c r="M202" s="10"/>
      <c r="N202" s="10"/>
      <c r="O202" s="21"/>
      <c r="P202" s="29"/>
      <c r="Q202" s="21"/>
    </row>
    <row r="203" spans="1:26" s="8" customFormat="1" ht="18.75" customHeight="1">
      <c r="A203" s="10"/>
      <c r="B203" s="28"/>
      <c r="C203" s="28"/>
      <c r="D203" s="10"/>
      <c r="E203" s="35"/>
      <c r="F203" s="10"/>
      <c r="G203" s="10"/>
      <c r="H203" s="10"/>
      <c r="I203" s="10"/>
      <c r="J203" s="10"/>
      <c r="K203" s="10"/>
      <c r="L203" s="10"/>
      <c r="M203" s="10"/>
      <c r="N203" s="10"/>
      <c r="O203" s="21"/>
      <c r="P203" s="29"/>
      <c r="Q203" s="21"/>
    </row>
    <row r="204" spans="1:26" s="8" customFormat="1" ht="18.75" customHeight="1">
      <c r="A204" s="10"/>
      <c r="B204" s="3"/>
      <c r="C204" s="28"/>
      <c r="D204" s="40"/>
      <c r="E204" s="35"/>
      <c r="F204" s="40"/>
      <c r="G204" s="40"/>
      <c r="H204" s="40"/>
      <c r="I204" s="40"/>
      <c r="J204" s="40"/>
      <c r="K204" s="40"/>
      <c r="L204" s="40"/>
      <c r="M204" s="10"/>
      <c r="N204" s="10"/>
      <c r="O204" s="21"/>
      <c r="P204" s="29"/>
      <c r="Q204" s="21"/>
    </row>
    <row r="205" spans="1:26" s="8" customFormat="1" ht="18.75" customHeight="1">
      <c r="A205" s="10"/>
      <c r="B205" s="3"/>
      <c r="C205" s="28"/>
      <c r="D205" s="10"/>
      <c r="E205" s="35"/>
      <c r="F205" s="10"/>
      <c r="G205" s="10"/>
      <c r="H205" s="10"/>
      <c r="I205" s="10"/>
      <c r="J205" s="10"/>
      <c r="K205" s="10"/>
      <c r="L205" s="10"/>
      <c r="M205" s="10"/>
      <c r="N205" s="10"/>
      <c r="O205" s="21"/>
      <c r="P205" s="29"/>
      <c r="Q205" s="21"/>
    </row>
    <row r="206" spans="1:26" s="8" customFormat="1" ht="18.75" customHeight="1">
      <c r="A206" s="10"/>
      <c r="B206" s="3"/>
      <c r="C206" s="28"/>
      <c r="D206" s="39"/>
      <c r="E206" s="35"/>
      <c r="F206" s="39"/>
      <c r="G206" s="39"/>
      <c r="H206" s="39"/>
      <c r="I206" s="39"/>
      <c r="J206" s="39"/>
      <c r="K206" s="39"/>
      <c r="L206" s="39"/>
      <c r="M206" s="10"/>
      <c r="N206" s="10"/>
      <c r="O206" s="21"/>
      <c r="P206" s="29"/>
    </row>
    <row r="207" spans="1:26" s="8" customFormat="1" ht="18.75" customHeight="1">
      <c r="A207" s="10"/>
      <c r="B207" s="3"/>
      <c r="C207" s="28"/>
      <c r="D207" s="10"/>
      <c r="E207" s="35"/>
      <c r="F207" s="10"/>
      <c r="G207" s="10"/>
      <c r="H207" s="10"/>
      <c r="I207" s="10"/>
      <c r="J207" s="10"/>
      <c r="K207" s="10"/>
      <c r="L207" s="10"/>
      <c r="M207" s="10"/>
      <c r="N207" s="10"/>
      <c r="O207" s="21"/>
      <c r="P207" s="29"/>
    </row>
    <row r="208" spans="1:26" s="8" customFormat="1" ht="18.75" customHeight="1">
      <c r="A208" s="10"/>
      <c r="B208" s="3"/>
      <c r="C208" s="28"/>
      <c r="D208" s="40"/>
      <c r="E208" s="35"/>
      <c r="F208" s="40"/>
      <c r="G208" s="40"/>
      <c r="H208" s="40"/>
      <c r="I208" s="40"/>
      <c r="J208" s="40"/>
      <c r="K208" s="40"/>
      <c r="L208" s="40"/>
      <c r="M208" s="10"/>
      <c r="N208" s="10"/>
      <c r="O208" s="21"/>
      <c r="P208" s="29"/>
    </row>
    <row r="209" spans="1:16" s="8" customFormat="1" ht="18.75" customHeight="1">
      <c r="A209" s="10"/>
      <c r="B209" s="3"/>
      <c r="C209" s="28"/>
      <c r="D209" s="21"/>
      <c r="E209" s="35"/>
      <c r="F209" s="21"/>
      <c r="G209" s="21"/>
      <c r="H209" s="21"/>
      <c r="I209" s="21"/>
      <c r="J209" s="21"/>
      <c r="K209" s="21"/>
      <c r="L209" s="21"/>
      <c r="M209" s="21"/>
      <c r="N209" s="10"/>
      <c r="O209" s="21"/>
      <c r="P209" s="29"/>
    </row>
    <row r="210" spans="1:16" s="8" customFormat="1" ht="18.75" customHeight="1">
      <c r="A210" s="28"/>
      <c r="B210" s="28"/>
      <c r="C210" s="28"/>
      <c r="D210" s="10"/>
      <c r="E210" s="35"/>
      <c r="F210" s="10"/>
      <c r="G210" s="10"/>
      <c r="H210" s="10"/>
      <c r="I210" s="10"/>
      <c r="J210" s="10"/>
      <c r="K210" s="10"/>
      <c r="L210" s="10"/>
      <c r="M210" s="10"/>
      <c r="N210" s="10"/>
      <c r="O210" s="21"/>
      <c r="P210" s="29"/>
    </row>
    <row r="211" spans="1:16" s="8" customFormat="1" ht="18.75" customHeight="1">
      <c r="A211" s="28"/>
      <c r="B211" s="3"/>
      <c r="C211" s="28"/>
      <c r="D211" s="10"/>
      <c r="E211" s="35"/>
      <c r="F211" s="10"/>
      <c r="G211" s="10"/>
      <c r="H211" s="10"/>
      <c r="I211" s="10"/>
      <c r="J211" s="10"/>
      <c r="K211" s="10"/>
      <c r="L211" s="10"/>
      <c r="M211" s="10"/>
      <c r="N211" s="10"/>
      <c r="O211" s="21"/>
      <c r="P211" s="29"/>
    </row>
    <row r="212" spans="1:16" s="8" customFormat="1" ht="18.75" customHeight="1">
      <c r="A212" s="28"/>
      <c r="B212" s="28"/>
      <c r="C212" s="28"/>
      <c r="D212" s="10"/>
      <c r="E212" s="35"/>
      <c r="F212" s="10"/>
      <c r="G212" s="10"/>
      <c r="H212" s="10"/>
      <c r="I212" s="10"/>
      <c r="J212" s="10"/>
      <c r="K212" s="10"/>
      <c r="L212" s="10"/>
      <c r="M212" s="10"/>
      <c r="N212" s="10"/>
      <c r="O212" s="21"/>
      <c r="P212" s="29"/>
    </row>
    <row r="213" spans="1:16" s="8" customFormat="1" ht="18.75" customHeight="1">
      <c r="A213" s="28"/>
      <c r="B213" s="3"/>
      <c r="C213" s="28"/>
      <c r="D213" s="10"/>
      <c r="E213" s="35"/>
      <c r="F213" s="10"/>
      <c r="G213" s="10"/>
      <c r="H213" s="10"/>
      <c r="I213" s="10"/>
      <c r="J213" s="10"/>
      <c r="K213" s="10"/>
      <c r="L213" s="10"/>
      <c r="M213" s="10"/>
      <c r="N213" s="10"/>
      <c r="O213" s="21"/>
      <c r="P213" s="29"/>
    </row>
    <row r="214" spans="1:16" s="8" customFormat="1" ht="18.75" customHeight="1">
      <c r="A214" s="10"/>
      <c r="B214" s="28"/>
      <c r="C214" s="28"/>
      <c r="D214" s="39"/>
      <c r="E214" s="35"/>
      <c r="F214" s="39"/>
      <c r="G214" s="39"/>
      <c r="H214" s="39"/>
      <c r="I214" s="39"/>
      <c r="J214" s="39"/>
      <c r="K214" s="39"/>
      <c r="L214" s="39"/>
      <c r="M214" s="10"/>
      <c r="N214" s="10"/>
      <c r="O214" s="21"/>
      <c r="P214" s="29"/>
    </row>
    <row r="215" spans="1:16" s="8" customFormat="1" ht="18.75" customHeight="1">
      <c r="A215" s="10"/>
      <c r="B215" s="3"/>
      <c r="C215" s="28"/>
      <c r="D215" s="40"/>
      <c r="E215" s="35"/>
      <c r="F215" s="40"/>
      <c r="G215" s="40"/>
      <c r="H215" s="40"/>
      <c r="I215" s="40"/>
      <c r="J215" s="40"/>
      <c r="K215" s="40"/>
      <c r="L215" s="40"/>
      <c r="M215" s="10"/>
      <c r="N215" s="10"/>
      <c r="O215" s="21"/>
      <c r="P215" s="29"/>
    </row>
    <row r="216" spans="1:16" s="8" customFormat="1" ht="18.75" customHeight="1">
      <c r="A216" s="10"/>
      <c r="B216" s="3"/>
      <c r="C216" s="28"/>
      <c r="D216" s="39"/>
      <c r="E216" s="35"/>
      <c r="F216" s="39"/>
      <c r="G216" s="39"/>
      <c r="H216" s="39"/>
      <c r="I216" s="39"/>
      <c r="J216" s="39"/>
      <c r="K216" s="39"/>
      <c r="L216" s="39"/>
      <c r="M216" s="10"/>
      <c r="N216" s="10"/>
      <c r="O216" s="21"/>
      <c r="P216" s="29"/>
    </row>
    <row r="217" spans="1:16" s="8" customFormat="1" ht="18.75" customHeight="1">
      <c r="A217" s="10"/>
      <c r="B217" s="3"/>
      <c r="C217" s="28"/>
      <c r="D217" s="42"/>
      <c r="E217" s="35"/>
      <c r="F217" s="42"/>
      <c r="G217" s="42"/>
      <c r="H217" s="42"/>
      <c r="I217" s="42"/>
      <c r="J217" s="42"/>
      <c r="K217" s="42"/>
      <c r="L217" s="42"/>
      <c r="M217" s="10"/>
      <c r="N217" s="10"/>
      <c r="O217" s="21"/>
      <c r="P217" s="29"/>
    </row>
    <row r="218" spans="1:16" s="8" customFormat="1" ht="18.75" customHeight="1">
      <c r="A218" s="10"/>
      <c r="B218" s="28"/>
      <c r="C218" s="28"/>
      <c r="D218" s="10"/>
      <c r="E218" s="35"/>
      <c r="F218" s="10"/>
      <c r="G218" s="10"/>
      <c r="H218" s="10"/>
      <c r="I218" s="10"/>
      <c r="J218" s="10"/>
      <c r="K218" s="10"/>
      <c r="L218" s="10"/>
      <c r="M218" s="10"/>
      <c r="N218" s="10"/>
      <c r="O218" s="21"/>
      <c r="P218" s="29"/>
    </row>
    <row r="219" spans="1:16" s="8" customFormat="1" ht="18.75" customHeight="1">
      <c r="A219" s="10"/>
      <c r="B219" s="3"/>
      <c r="C219" s="28"/>
      <c r="D219" s="42"/>
      <c r="E219" s="35"/>
      <c r="F219" s="42"/>
      <c r="G219" s="42"/>
      <c r="H219" s="42"/>
      <c r="I219" s="42"/>
      <c r="J219" s="42"/>
      <c r="K219" s="42"/>
      <c r="L219" s="42"/>
      <c r="M219" s="10"/>
      <c r="N219" s="10"/>
      <c r="O219" s="21"/>
      <c r="P219" s="29"/>
    </row>
    <row r="220" spans="1:16" s="8" customFormat="1" ht="18.75" customHeight="1">
      <c r="A220" s="10"/>
      <c r="B220" s="3"/>
      <c r="C220" s="28"/>
      <c r="D220" s="42"/>
      <c r="E220" s="35"/>
      <c r="F220" s="42"/>
      <c r="G220" s="42"/>
      <c r="H220" s="42"/>
      <c r="I220" s="42"/>
      <c r="J220" s="42"/>
      <c r="K220" s="42"/>
      <c r="L220" s="42"/>
      <c r="M220" s="10"/>
      <c r="N220" s="10"/>
      <c r="O220" s="21"/>
      <c r="P220" s="29"/>
    </row>
    <row r="221" spans="1:16" s="8" customFormat="1" ht="18.75" customHeight="1">
      <c r="A221" s="10"/>
      <c r="B221" s="3"/>
      <c r="C221" s="28"/>
      <c r="D221" s="10"/>
      <c r="E221" s="35"/>
      <c r="F221" s="10"/>
      <c r="G221" s="10"/>
      <c r="H221" s="10"/>
      <c r="I221" s="10"/>
      <c r="J221" s="10"/>
      <c r="K221" s="10"/>
      <c r="L221" s="10"/>
      <c r="M221" s="10"/>
      <c r="N221" s="10"/>
      <c r="O221" s="21"/>
      <c r="P221" s="29"/>
    </row>
    <row r="222" spans="1:16" s="8" customFormat="1" ht="18.75" customHeight="1">
      <c r="A222" s="10"/>
      <c r="B222" s="3"/>
      <c r="C222" s="28"/>
      <c r="D222" s="42"/>
      <c r="E222" s="35"/>
      <c r="F222" s="42"/>
      <c r="G222" s="42"/>
      <c r="H222" s="42"/>
      <c r="I222" s="42"/>
      <c r="J222" s="42"/>
      <c r="K222" s="42"/>
      <c r="L222" s="42"/>
      <c r="M222" s="10"/>
      <c r="N222" s="10"/>
      <c r="O222" s="21"/>
      <c r="P222" s="29"/>
    </row>
    <row r="223" spans="1:16" s="8" customFormat="1" ht="18.75" customHeight="1">
      <c r="A223" s="10"/>
      <c r="B223" s="3"/>
      <c r="C223" s="28"/>
      <c r="D223" s="10"/>
      <c r="E223" s="35"/>
      <c r="F223" s="10"/>
      <c r="G223" s="10"/>
      <c r="H223" s="10"/>
      <c r="I223" s="10"/>
      <c r="J223" s="10"/>
      <c r="K223" s="10"/>
      <c r="L223" s="10"/>
      <c r="M223" s="10"/>
      <c r="N223" s="10"/>
      <c r="O223" s="21"/>
      <c r="P223" s="29"/>
    </row>
    <row r="224" spans="1:16" s="8" customFormat="1" ht="17">
      <c r="A224" s="10"/>
      <c r="B224" s="3"/>
      <c r="C224" s="28"/>
      <c r="D224" s="10"/>
      <c r="E224" s="35"/>
      <c r="F224" s="10"/>
      <c r="G224" s="10"/>
      <c r="H224" s="10"/>
      <c r="I224" s="10"/>
      <c r="J224" s="10"/>
      <c r="K224" s="10"/>
      <c r="L224" s="10"/>
      <c r="M224" s="10"/>
      <c r="N224" s="10"/>
      <c r="O224" s="21"/>
      <c r="P224" s="29"/>
    </row>
    <row r="225" spans="1:16" s="8" customFormat="1" ht="17">
      <c r="A225" s="10"/>
      <c r="B225" s="3"/>
      <c r="C225" s="28"/>
      <c r="D225" s="10"/>
      <c r="E225" s="35"/>
      <c r="F225" s="10"/>
      <c r="G225" s="10"/>
      <c r="H225" s="10"/>
      <c r="I225" s="10"/>
      <c r="J225" s="10"/>
      <c r="K225" s="10"/>
      <c r="L225" s="10"/>
      <c r="M225" s="10"/>
      <c r="N225" s="10"/>
      <c r="O225" s="21"/>
      <c r="P225" s="29"/>
    </row>
    <row r="226" spans="1:16" s="8" customFormat="1" ht="17">
      <c r="A226" s="10"/>
      <c r="B226" s="3"/>
      <c r="C226" s="28"/>
      <c r="D226" s="10"/>
      <c r="E226" s="3"/>
      <c r="F226" s="10"/>
      <c r="G226" s="10"/>
      <c r="H226" s="10"/>
      <c r="I226" s="10"/>
      <c r="J226" s="10"/>
      <c r="K226" s="10"/>
      <c r="L226" s="10"/>
      <c r="M226" s="10"/>
      <c r="N226" s="10"/>
      <c r="O226" s="21"/>
      <c r="P226" s="29"/>
    </row>
    <row r="227" spans="1:16" s="8" customFormat="1" ht="17">
      <c r="A227" s="10"/>
      <c r="B227" s="34"/>
      <c r="C227" s="28"/>
      <c r="D227" s="40"/>
      <c r="E227" s="40"/>
      <c r="F227" s="40"/>
      <c r="G227" s="40"/>
      <c r="H227" s="40"/>
      <c r="I227" s="40"/>
      <c r="J227" s="40"/>
      <c r="K227" s="40"/>
      <c r="L227" s="40"/>
      <c r="M227" s="28"/>
      <c r="N227" s="28"/>
      <c r="O227" s="21"/>
      <c r="P227" s="29"/>
    </row>
    <row r="228" spans="1:16" s="8" customFormat="1" ht="17">
      <c r="A228" s="10"/>
      <c r="B228" s="3"/>
      <c r="C228" s="28"/>
      <c r="D228" s="42"/>
      <c r="E228" s="35"/>
      <c r="F228" s="42"/>
      <c r="G228" s="42"/>
      <c r="H228" s="42"/>
      <c r="I228" s="42"/>
      <c r="J228" s="42"/>
      <c r="K228" s="42"/>
      <c r="L228" s="42"/>
      <c r="M228" s="10"/>
      <c r="N228" s="10"/>
      <c r="O228" s="21"/>
      <c r="P228" s="29"/>
    </row>
    <row r="229" spans="1:16" s="8" customFormat="1" ht="17">
      <c r="A229" s="10"/>
      <c r="B229" s="3"/>
      <c r="C229" s="28"/>
      <c r="D229" s="39"/>
      <c r="E229" s="35"/>
      <c r="F229" s="39"/>
      <c r="G229" s="39"/>
      <c r="H229" s="39"/>
      <c r="I229" s="39"/>
      <c r="J229" s="39"/>
      <c r="K229" s="39"/>
      <c r="L229" s="39"/>
      <c r="M229" s="10"/>
      <c r="N229" s="10"/>
      <c r="O229" s="21"/>
      <c r="P229" s="29"/>
    </row>
    <row r="230" spans="1:16" s="8" customFormat="1" ht="17">
      <c r="A230" s="10"/>
      <c r="B230" s="3"/>
      <c r="C230" s="28"/>
      <c r="D230" s="10"/>
      <c r="E230" s="35"/>
      <c r="F230" s="10"/>
      <c r="G230" s="10"/>
      <c r="H230" s="10"/>
      <c r="I230" s="10"/>
      <c r="J230" s="10"/>
      <c r="K230" s="10"/>
      <c r="L230" s="10"/>
      <c r="M230" s="10"/>
      <c r="N230" s="10"/>
      <c r="O230" s="21"/>
      <c r="P230" s="29"/>
    </row>
    <row r="231" spans="1:16" s="8" customFormat="1" ht="17">
      <c r="A231" s="28"/>
      <c r="B231" s="3"/>
      <c r="C231" s="28"/>
      <c r="D231" s="10"/>
      <c r="E231" s="35"/>
      <c r="F231" s="10"/>
      <c r="G231" s="10"/>
      <c r="H231" s="10"/>
      <c r="I231" s="10"/>
      <c r="J231" s="10"/>
      <c r="K231" s="10"/>
      <c r="L231" s="10"/>
      <c r="M231" s="10"/>
      <c r="N231" s="10"/>
      <c r="O231" s="21"/>
      <c r="P231" s="29"/>
    </row>
    <row r="232" spans="1:16" s="8" customFormat="1" ht="17">
      <c r="A232" s="10"/>
      <c r="B232" s="3"/>
      <c r="C232" s="28"/>
      <c r="D232" s="39"/>
      <c r="E232" s="35"/>
      <c r="F232" s="39"/>
      <c r="G232" s="39"/>
      <c r="H232" s="39"/>
      <c r="I232" s="39"/>
      <c r="J232" s="39"/>
      <c r="K232" s="39"/>
      <c r="L232" s="39"/>
      <c r="M232" s="10"/>
      <c r="N232" s="10"/>
      <c r="O232" s="21"/>
      <c r="P232" s="29"/>
    </row>
    <row r="233" spans="1:16" s="8" customFormat="1" ht="17">
      <c r="A233" s="10"/>
      <c r="B233" s="3"/>
      <c r="C233" s="28"/>
      <c r="D233" s="10"/>
      <c r="E233" s="35"/>
      <c r="F233" s="10"/>
      <c r="G233" s="10"/>
      <c r="H233" s="10"/>
      <c r="I233" s="10"/>
      <c r="J233" s="10"/>
      <c r="K233" s="10"/>
      <c r="L233" s="10"/>
      <c r="M233" s="10"/>
      <c r="N233" s="10"/>
      <c r="O233" s="21"/>
      <c r="P233" s="29"/>
    </row>
    <row r="234" spans="1:16" s="8" customFormat="1" ht="17">
      <c r="A234" s="10"/>
      <c r="B234" s="3"/>
      <c r="C234" s="28"/>
      <c r="D234" s="10"/>
      <c r="E234" s="35"/>
      <c r="F234" s="10"/>
      <c r="G234" s="10"/>
      <c r="H234" s="10"/>
      <c r="I234" s="10"/>
      <c r="J234" s="10"/>
      <c r="K234" s="10"/>
      <c r="L234" s="10"/>
      <c r="M234" s="10"/>
      <c r="N234" s="10"/>
      <c r="O234" s="21"/>
      <c r="P234" s="29"/>
    </row>
    <row r="235" spans="1:16" s="8" customFormat="1" ht="17">
      <c r="A235" s="10"/>
      <c r="B235" s="3"/>
      <c r="C235" s="28"/>
      <c r="D235" s="10"/>
      <c r="E235" s="35"/>
      <c r="F235" s="10"/>
      <c r="G235" s="10"/>
      <c r="H235" s="10"/>
      <c r="I235" s="10"/>
      <c r="J235" s="10"/>
      <c r="K235" s="10"/>
      <c r="L235" s="10"/>
      <c r="M235" s="10"/>
      <c r="N235" s="10"/>
      <c r="O235" s="21"/>
      <c r="P235" s="29"/>
    </row>
    <row r="236" spans="1:16" s="8" customFormat="1" ht="17">
      <c r="A236" s="10"/>
      <c r="B236" s="3"/>
      <c r="C236" s="28"/>
      <c r="D236" s="10"/>
      <c r="E236" s="35"/>
      <c r="F236" s="10"/>
      <c r="G236" s="10"/>
      <c r="H236" s="10"/>
      <c r="I236" s="10"/>
      <c r="J236" s="10"/>
      <c r="K236" s="10"/>
      <c r="L236" s="10"/>
      <c r="M236" s="10"/>
      <c r="N236" s="10"/>
      <c r="O236" s="21"/>
      <c r="P236" s="29"/>
    </row>
    <row r="237" spans="1:16" s="8" customFormat="1" ht="17">
      <c r="A237" s="28"/>
      <c r="B237" s="3"/>
      <c r="C237" s="28"/>
      <c r="D237" s="10"/>
      <c r="E237" s="35"/>
      <c r="F237" s="10"/>
      <c r="G237" s="10"/>
      <c r="H237" s="10"/>
      <c r="I237" s="10"/>
      <c r="J237" s="10"/>
      <c r="K237" s="10"/>
      <c r="L237" s="10"/>
      <c r="M237" s="10"/>
      <c r="N237" s="10"/>
      <c r="O237" s="21"/>
      <c r="P237" s="29"/>
    </row>
    <row r="238" spans="1:16" s="8" customFormat="1" ht="17">
      <c r="A238" s="28"/>
      <c r="B238" s="3"/>
      <c r="C238" s="28"/>
      <c r="D238" s="10"/>
      <c r="E238" s="35"/>
      <c r="F238" s="10"/>
      <c r="G238" s="10"/>
      <c r="H238" s="10"/>
      <c r="I238" s="10"/>
      <c r="J238" s="10"/>
      <c r="K238" s="10"/>
      <c r="L238" s="10"/>
      <c r="M238" s="10"/>
      <c r="N238" s="10"/>
      <c r="O238" s="21"/>
      <c r="P238" s="29"/>
    </row>
    <row r="239" spans="1:16" s="8" customFormat="1" ht="17">
      <c r="A239" s="10"/>
      <c r="B239" s="34"/>
      <c r="C239" s="28"/>
      <c r="D239" s="40"/>
      <c r="E239" s="40"/>
      <c r="F239" s="40"/>
      <c r="G239" s="40"/>
      <c r="H239" s="40"/>
      <c r="I239" s="40"/>
      <c r="J239" s="40"/>
      <c r="K239" s="40"/>
      <c r="L239" s="40"/>
      <c r="M239" s="28"/>
      <c r="N239" s="28"/>
      <c r="O239" s="21"/>
      <c r="P239" s="29"/>
    </row>
    <row r="240" spans="1:16" s="8" customFormat="1" ht="17">
      <c r="A240" s="10"/>
      <c r="B240" s="28"/>
      <c r="C240" s="28"/>
      <c r="D240" s="40"/>
      <c r="E240" s="40"/>
      <c r="F240" s="40"/>
      <c r="G240" s="40"/>
      <c r="H240" s="40"/>
      <c r="I240" s="40"/>
      <c r="J240" s="40"/>
      <c r="K240" s="40"/>
      <c r="L240" s="40"/>
      <c r="M240" s="28"/>
      <c r="N240" s="28"/>
      <c r="O240" s="21"/>
      <c r="P240" s="29"/>
    </row>
    <row r="241" spans="1:18" s="8" customFormat="1" ht="17">
      <c r="A241" s="10"/>
      <c r="B241" s="3"/>
      <c r="C241" s="28"/>
      <c r="D241" s="10"/>
      <c r="E241" s="35"/>
      <c r="F241" s="10"/>
      <c r="G241" s="10"/>
      <c r="H241" s="10"/>
      <c r="I241" s="10"/>
      <c r="J241" s="10"/>
      <c r="K241" s="10"/>
      <c r="L241" s="10"/>
      <c r="M241" s="10"/>
      <c r="N241" s="10"/>
      <c r="O241" s="21"/>
      <c r="P241" s="29"/>
    </row>
    <row r="242" spans="1:18" s="8" customFormat="1" ht="17">
      <c r="A242" s="10"/>
      <c r="B242" s="3"/>
      <c r="C242" s="28"/>
      <c r="D242" s="10"/>
      <c r="E242" s="35"/>
      <c r="F242" s="10"/>
      <c r="G242" s="10"/>
      <c r="H242" s="10"/>
      <c r="I242" s="10"/>
      <c r="J242" s="10"/>
      <c r="K242" s="10"/>
      <c r="L242" s="10"/>
      <c r="M242" s="10"/>
      <c r="N242" s="10"/>
      <c r="O242" s="21"/>
      <c r="P242" s="29"/>
    </row>
    <row r="243" spans="1:18" s="8" customFormat="1" ht="17">
      <c r="A243" s="10"/>
      <c r="B243" s="34"/>
      <c r="C243" s="28"/>
      <c r="D243" s="39"/>
      <c r="E243" s="39"/>
      <c r="F243" s="39"/>
      <c r="G243" s="39"/>
      <c r="H243" s="39"/>
      <c r="I243" s="39"/>
      <c r="J243" s="39"/>
      <c r="K243" s="39"/>
      <c r="L243" s="39"/>
      <c r="M243" s="10"/>
      <c r="N243" s="10"/>
      <c r="O243" s="21"/>
      <c r="P243" s="29"/>
    </row>
    <row r="244" spans="1:18" s="8" customFormat="1" ht="17">
      <c r="A244" s="10"/>
      <c r="B244" s="3"/>
      <c r="C244" s="28"/>
      <c r="D244" s="10"/>
      <c r="E244" s="35"/>
      <c r="F244" s="10"/>
      <c r="G244" s="10"/>
      <c r="H244" s="10"/>
      <c r="I244" s="10"/>
      <c r="J244" s="10"/>
      <c r="K244" s="10"/>
      <c r="L244" s="10"/>
      <c r="M244" s="10"/>
      <c r="N244" s="10"/>
      <c r="O244" s="21"/>
      <c r="P244" s="29"/>
    </row>
    <row r="245" spans="1:18" s="8" customFormat="1" ht="17">
      <c r="A245" s="10"/>
      <c r="B245" s="3"/>
      <c r="C245" s="28"/>
      <c r="D245" s="10"/>
      <c r="E245" s="35"/>
      <c r="F245" s="10"/>
      <c r="G245" s="10"/>
      <c r="H245" s="10"/>
      <c r="I245" s="10"/>
      <c r="J245" s="10"/>
      <c r="K245" s="10"/>
      <c r="L245" s="10"/>
      <c r="M245" s="10"/>
      <c r="N245" s="10"/>
      <c r="O245" s="21"/>
      <c r="P245" s="29"/>
    </row>
    <row r="246" spans="1:18" s="8" customFormat="1" ht="17">
      <c r="A246" s="10"/>
      <c r="B246" s="3"/>
      <c r="C246" s="28"/>
      <c r="D246" s="10"/>
      <c r="E246" s="35"/>
      <c r="F246" s="10"/>
      <c r="G246" s="10"/>
      <c r="H246" s="10"/>
      <c r="I246" s="10"/>
      <c r="J246" s="10"/>
      <c r="K246" s="10"/>
      <c r="L246" s="10"/>
      <c r="M246" s="10"/>
      <c r="N246" s="10"/>
      <c r="O246" s="21"/>
      <c r="P246" s="29"/>
    </row>
    <row r="247" spans="1:18" s="8" customFormat="1" ht="17">
      <c r="A247" s="10"/>
      <c r="B247" s="34"/>
      <c r="C247" s="28"/>
      <c r="D247" s="40"/>
      <c r="E247" s="40"/>
      <c r="F247" s="40"/>
      <c r="G247" s="40"/>
      <c r="H247" s="40"/>
      <c r="I247" s="40"/>
      <c r="J247" s="40"/>
      <c r="K247" s="40"/>
      <c r="L247" s="40"/>
      <c r="M247" s="28"/>
      <c r="N247" s="28"/>
      <c r="O247" s="21"/>
      <c r="P247" s="29"/>
    </row>
    <row r="248" spans="1:18" s="8" customFormat="1" ht="17">
      <c r="A248" s="10"/>
      <c r="B248" s="28"/>
      <c r="C248" s="28"/>
      <c r="D248" s="40"/>
      <c r="E248" s="40"/>
      <c r="F248" s="40"/>
      <c r="G248" s="40"/>
      <c r="H248" s="40"/>
      <c r="I248" s="40"/>
      <c r="J248" s="40"/>
      <c r="K248" s="40"/>
      <c r="L248" s="40"/>
      <c r="M248" s="28"/>
      <c r="N248" s="28"/>
      <c r="O248" s="21"/>
      <c r="P248" s="29"/>
    </row>
    <row r="249" spans="1:18" s="8" customFormat="1" ht="17">
      <c r="A249" s="10"/>
      <c r="B249" s="28"/>
      <c r="C249" s="28"/>
      <c r="D249" s="40"/>
      <c r="E249" s="40"/>
      <c r="F249" s="40"/>
      <c r="G249" s="40"/>
      <c r="H249" s="40"/>
      <c r="I249" s="40"/>
      <c r="J249" s="40"/>
      <c r="K249" s="40"/>
      <c r="L249" s="40"/>
      <c r="M249" s="28"/>
      <c r="N249" s="28"/>
      <c r="O249" s="21"/>
      <c r="P249" s="29"/>
    </row>
    <row r="250" spans="1:18" s="8" customFormat="1" ht="17">
      <c r="A250" s="10"/>
      <c r="B250" s="3"/>
      <c r="C250" s="28"/>
      <c r="D250" s="40"/>
      <c r="E250" s="35"/>
      <c r="F250" s="40"/>
      <c r="G250" s="40"/>
      <c r="H250" s="40"/>
      <c r="I250" s="40"/>
      <c r="J250" s="40"/>
      <c r="K250" s="40"/>
      <c r="L250" s="40"/>
      <c r="M250" s="10"/>
      <c r="N250" s="10"/>
      <c r="O250" s="21"/>
      <c r="P250" s="29"/>
    </row>
    <row r="251" spans="1:18" s="8" customFormat="1" ht="17">
      <c r="A251" s="10"/>
      <c r="B251" s="28"/>
      <c r="C251" s="28"/>
      <c r="D251" s="40"/>
      <c r="E251" s="40"/>
      <c r="F251" s="40"/>
      <c r="G251" s="40"/>
      <c r="H251" s="40"/>
      <c r="I251" s="40"/>
      <c r="J251" s="40"/>
      <c r="K251" s="40"/>
      <c r="L251" s="40"/>
      <c r="M251" s="28"/>
      <c r="N251" s="28"/>
      <c r="O251" s="21"/>
      <c r="P251" s="29"/>
    </row>
    <row r="252" spans="1:18" s="8" customFormat="1" ht="17">
      <c r="A252" s="10"/>
      <c r="B252" s="34"/>
      <c r="C252" s="28"/>
      <c r="D252" s="39"/>
      <c r="E252" s="39"/>
      <c r="F252" s="39"/>
      <c r="G252" s="39"/>
      <c r="H252" s="39"/>
      <c r="I252" s="39"/>
      <c r="J252" s="39"/>
      <c r="K252" s="39"/>
      <c r="L252" s="39"/>
      <c r="M252" s="10"/>
      <c r="N252" s="10"/>
      <c r="O252" s="21"/>
      <c r="P252" s="29"/>
    </row>
    <row r="253" spans="1:18" s="8" customFormat="1" ht="17">
      <c r="A253" s="10"/>
      <c r="B253" s="34"/>
      <c r="C253" s="28"/>
      <c r="D253" s="39"/>
      <c r="E253" s="39"/>
      <c r="F253" s="39"/>
      <c r="G253" s="39"/>
      <c r="H253" s="39"/>
      <c r="I253" s="39"/>
      <c r="J253" s="39"/>
      <c r="K253" s="39"/>
      <c r="L253" s="39"/>
      <c r="M253" s="10"/>
      <c r="N253" s="10"/>
      <c r="O253" s="21"/>
      <c r="P253" s="29"/>
      <c r="R253" s="5"/>
    </row>
    <row r="254" spans="1:18" s="8" customFormat="1" ht="17">
      <c r="A254" s="10"/>
      <c r="B254" s="34"/>
      <c r="C254" s="28"/>
      <c r="D254" s="39"/>
      <c r="E254" s="39"/>
      <c r="F254" s="39"/>
      <c r="G254" s="39"/>
      <c r="H254" s="39"/>
      <c r="I254" s="39"/>
      <c r="J254" s="39"/>
      <c r="K254" s="39"/>
      <c r="L254" s="39"/>
      <c r="M254" s="10"/>
      <c r="N254" s="10"/>
      <c r="O254" s="21"/>
      <c r="P254" s="29"/>
      <c r="R254" s="5"/>
    </row>
    <row r="255" spans="1:18" s="8" customFormat="1" ht="17">
      <c r="A255" s="28"/>
      <c r="B255" s="34"/>
      <c r="C255" s="28"/>
      <c r="D255" s="39"/>
      <c r="E255" s="39"/>
      <c r="F255" s="39"/>
      <c r="G255" s="39"/>
      <c r="H255" s="39"/>
      <c r="I255" s="39"/>
      <c r="J255" s="39"/>
      <c r="K255" s="39"/>
      <c r="L255" s="39"/>
      <c r="M255" s="10"/>
      <c r="N255" s="10"/>
      <c r="O255" s="21"/>
      <c r="P255" s="29"/>
      <c r="R255" s="5"/>
    </row>
    <row r="256" spans="1:18" s="8" customFormat="1" ht="17">
      <c r="A256" s="10"/>
      <c r="B256" s="3"/>
      <c r="C256" s="28"/>
      <c r="D256" s="10"/>
      <c r="E256" s="35"/>
      <c r="F256" s="10"/>
      <c r="G256" s="10"/>
      <c r="H256" s="10"/>
      <c r="I256" s="10"/>
      <c r="J256" s="10"/>
      <c r="K256" s="10"/>
      <c r="L256" s="10"/>
      <c r="M256" s="10"/>
      <c r="N256" s="10"/>
      <c r="O256" s="21"/>
      <c r="P256" s="29"/>
      <c r="R256" s="5"/>
    </row>
    <row r="257" spans="1:18" s="8" customFormat="1" ht="17">
      <c r="A257" s="10"/>
      <c r="B257" s="3"/>
      <c r="C257" s="28"/>
      <c r="D257" s="10"/>
      <c r="E257" s="35"/>
      <c r="F257" s="10"/>
      <c r="G257" s="10"/>
      <c r="H257" s="10"/>
      <c r="I257" s="10"/>
      <c r="J257" s="10"/>
      <c r="K257" s="10"/>
      <c r="L257" s="10"/>
      <c r="M257" s="10"/>
      <c r="N257" s="10"/>
      <c r="O257" s="21"/>
      <c r="P257" s="29"/>
      <c r="R257" s="5"/>
    </row>
    <row r="258" spans="1:18" s="8" customFormat="1" ht="17">
      <c r="A258" s="10"/>
      <c r="B258" s="35"/>
      <c r="C258" s="28"/>
      <c r="D258" s="39"/>
      <c r="E258" s="39"/>
      <c r="F258" s="39"/>
      <c r="G258" s="39"/>
      <c r="H258" s="39"/>
      <c r="I258" s="39"/>
      <c r="J258" s="39"/>
      <c r="K258" s="39"/>
      <c r="L258" s="39"/>
      <c r="M258" s="10"/>
      <c r="N258" s="10"/>
      <c r="O258" s="21"/>
      <c r="P258" s="29"/>
    </row>
    <row r="259" spans="1:18" s="8" customFormat="1" ht="17">
      <c r="A259" s="10"/>
      <c r="B259" s="28"/>
      <c r="C259" s="28"/>
      <c r="D259" s="39"/>
      <c r="E259" s="39"/>
      <c r="F259" s="39"/>
      <c r="G259" s="39"/>
      <c r="H259" s="39"/>
      <c r="I259" s="39"/>
      <c r="J259" s="39"/>
      <c r="K259" s="39"/>
      <c r="L259" s="39"/>
      <c r="M259" s="10"/>
      <c r="N259" s="10"/>
      <c r="O259" s="21"/>
      <c r="P259" s="29"/>
      <c r="R259" s="5"/>
    </row>
    <row r="260" spans="1:18" s="8" customFormat="1" ht="17">
      <c r="A260" s="10"/>
      <c r="B260" s="28"/>
      <c r="C260" s="28"/>
      <c r="D260" s="39"/>
      <c r="E260" s="39"/>
      <c r="F260" s="39"/>
      <c r="G260" s="39"/>
      <c r="H260" s="39"/>
      <c r="I260" s="39"/>
      <c r="J260" s="39"/>
      <c r="K260" s="39"/>
      <c r="L260" s="39"/>
      <c r="M260" s="10"/>
      <c r="N260" s="10"/>
      <c r="O260" s="21"/>
      <c r="P260" s="29"/>
      <c r="R260" s="5"/>
    </row>
    <row r="261" spans="1:18" s="8" customFormat="1" ht="17">
      <c r="A261" s="10"/>
      <c r="B261" s="28"/>
      <c r="C261" s="28"/>
      <c r="D261" s="39"/>
      <c r="E261" s="39"/>
      <c r="F261" s="39"/>
      <c r="G261" s="39"/>
      <c r="H261" s="39"/>
      <c r="I261" s="39"/>
      <c r="J261" s="39"/>
      <c r="K261" s="39"/>
      <c r="L261" s="39"/>
      <c r="M261" s="10"/>
      <c r="N261" s="10"/>
      <c r="O261" s="21"/>
      <c r="P261" s="29"/>
      <c r="R261" s="5"/>
    </row>
    <row r="262" spans="1:18" s="8" customFormat="1" ht="17">
      <c r="A262" s="10"/>
      <c r="B262" s="3"/>
      <c r="C262" s="28"/>
      <c r="D262" s="10"/>
      <c r="E262" s="35"/>
      <c r="F262" s="10"/>
      <c r="G262" s="10"/>
      <c r="H262" s="10"/>
      <c r="I262" s="10"/>
      <c r="J262" s="10"/>
      <c r="K262" s="10"/>
      <c r="L262" s="10"/>
      <c r="M262" s="10"/>
      <c r="N262" s="10"/>
      <c r="O262" s="21"/>
      <c r="P262" s="29"/>
      <c r="R262" s="5"/>
    </row>
    <row r="263" spans="1:18" s="8" customFormat="1" ht="17">
      <c r="A263" s="10"/>
      <c r="B263" s="28"/>
      <c r="C263" s="28"/>
      <c r="D263" s="40"/>
      <c r="E263" s="39"/>
      <c r="F263" s="40"/>
      <c r="G263" s="40"/>
      <c r="H263" s="40"/>
      <c r="I263" s="40"/>
      <c r="J263" s="40"/>
      <c r="K263" s="40"/>
      <c r="L263" s="40"/>
      <c r="M263" s="10"/>
      <c r="N263" s="10"/>
      <c r="O263" s="21"/>
      <c r="P263" s="29"/>
      <c r="R263" s="5"/>
    </row>
    <row r="264" spans="1:18" s="8" customFormat="1" ht="17">
      <c r="A264" s="10"/>
      <c r="B264" s="28"/>
      <c r="C264" s="28"/>
      <c r="D264" s="40"/>
      <c r="E264" s="39"/>
      <c r="F264" s="40"/>
      <c r="G264" s="40"/>
      <c r="H264" s="40"/>
      <c r="I264" s="40"/>
      <c r="J264" s="40"/>
      <c r="K264" s="40"/>
      <c r="L264" s="40"/>
      <c r="M264" s="10"/>
      <c r="N264" s="10"/>
      <c r="O264" s="21"/>
      <c r="P264" s="29"/>
    </row>
    <row r="265" spans="1:18" s="8" customFormat="1" ht="17">
      <c r="A265" s="10"/>
      <c r="B265" s="34"/>
      <c r="C265" s="28"/>
      <c r="D265" s="39"/>
      <c r="E265" s="39"/>
      <c r="F265" s="39"/>
      <c r="G265" s="39"/>
      <c r="H265" s="39"/>
      <c r="I265" s="39"/>
      <c r="J265" s="39"/>
      <c r="K265" s="39"/>
      <c r="L265" s="39"/>
      <c r="M265" s="10"/>
      <c r="N265" s="10"/>
      <c r="O265" s="21"/>
      <c r="P265" s="29"/>
      <c r="R265" s="5"/>
    </row>
    <row r="266" spans="1:18" s="8" customFormat="1" ht="17">
      <c r="A266" s="10"/>
      <c r="B266" s="28"/>
      <c r="C266" s="28"/>
      <c r="D266" s="40"/>
      <c r="E266" s="39"/>
      <c r="F266" s="40"/>
      <c r="G266" s="40"/>
      <c r="H266" s="40"/>
      <c r="I266" s="40"/>
      <c r="J266" s="40"/>
      <c r="K266" s="40"/>
      <c r="L266" s="40"/>
      <c r="M266" s="10"/>
      <c r="N266" s="10"/>
      <c r="O266" s="21"/>
      <c r="P266" s="29"/>
      <c r="R266" s="5"/>
    </row>
    <row r="267" spans="1:18" s="8" customFormat="1" ht="17">
      <c r="A267" s="10"/>
      <c r="B267" s="28"/>
      <c r="C267" s="28"/>
      <c r="D267" s="40"/>
      <c r="E267" s="39"/>
      <c r="F267" s="40"/>
      <c r="G267" s="40"/>
      <c r="H267" s="40"/>
      <c r="I267" s="40"/>
      <c r="J267" s="40"/>
      <c r="K267" s="40"/>
      <c r="L267" s="40"/>
      <c r="M267" s="10"/>
      <c r="N267" s="10"/>
      <c r="O267" s="21"/>
      <c r="P267" s="29"/>
      <c r="R267" s="5"/>
    </row>
    <row r="268" spans="1:18" s="8" customFormat="1" ht="17">
      <c r="A268" s="10"/>
      <c r="B268" s="28"/>
      <c r="C268" s="28"/>
      <c r="D268" s="40"/>
      <c r="E268" s="39"/>
      <c r="F268" s="40"/>
      <c r="G268" s="40"/>
      <c r="H268" s="40"/>
      <c r="I268" s="40"/>
      <c r="J268" s="40"/>
      <c r="K268" s="40"/>
      <c r="L268" s="40"/>
      <c r="M268" s="10"/>
      <c r="N268" s="10"/>
      <c r="O268" s="21"/>
      <c r="P268" s="29"/>
      <c r="R268" s="5"/>
    </row>
    <row r="269" spans="1:18" s="8" customFormat="1" ht="17">
      <c r="A269" s="10"/>
      <c r="B269" s="28"/>
      <c r="C269" s="28"/>
      <c r="D269" s="40"/>
      <c r="E269" s="39"/>
      <c r="F269" s="40"/>
      <c r="G269" s="40"/>
      <c r="H269" s="40"/>
      <c r="I269" s="40"/>
      <c r="J269" s="40"/>
      <c r="K269" s="40"/>
      <c r="L269" s="40"/>
      <c r="M269" s="10"/>
      <c r="N269" s="10"/>
      <c r="O269" s="21"/>
      <c r="P269" s="29"/>
      <c r="R269" s="5"/>
    </row>
    <row r="270" spans="1:18" s="8" customFormat="1" ht="17">
      <c r="A270" s="10"/>
      <c r="B270" s="34"/>
      <c r="C270" s="28"/>
      <c r="D270" s="39"/>
      <c r="E270" s="39"/>
      <c r="F270" s="39"/>
      <c r="G270" s="39"/>
      <c r="H270" s="39"/>
      <c r="I270" s="39"/>
      <c r="J270" s="39"/>
      <c r="K270" s="39"/>
      <c r="L270" s="39"/>
      <c r="M270" s="10"/>
      <c r="N270" s="10"/>
      <c r="O270" s="21"/>
      <c r="P270" s="29"/>
      <c r="R270" s="5"/>
    </row>
    <row r="271" spans="1:18" s="8" customFormat="1" ht="17">
      <c r="A271" s="10"/>
      <c r="B271" s="3"/>
      <c r="C271" s="28"/>
      <c r="D271" s="40"/>
      <c r="E271" s="35"/>
      <c r="F271" s="40"/>
      <c r="G271" s="40"/>
      <c r="H271" s="40"/>
      <c r="I271" s="40"/>
      <c r="J271" s="40"/>
      <c r="K271" s="40"/>
      <c r="L271" s="40"/>
      <c r="M271" s="10"/>
      <c r="N271" s="10"/>
      <c r="O271" s="21"/>
      <c r="P271" s="29"/>
      <c r="R271" s="5"/>
    </row>
    <row r="272" spans="1:18" s="8" customFormat="1" ht="17">
      <c r="A272" s="10"/>
      <c r="B272" s="3"/>
      <c r="C272" s="28"/>
      <c r="D272" s="21"/>
      <c r="E272" s="35"/>
      <c r="F272" s="21"/>
      <c r="G272" s="21"/>
      <c r="H272" s="21"/>
      <c r="I272" s="21"/>
      <c r="J272" s="21"/>
      <c r="K272" s="21"/>
      <c r="L272" s="21"/>
      <c r="M272" s="21"/>
      <c r="N272" s="10"/>
      <c r="O272" s="21"/>
      <c r="P272" s="29"/>
      <c r="R272" s="5"/>
    </row>
    <row r="273" spans="1:18" s="8" customFormat="1" ht="17">
      <c r="A273" s="10"/>
      <c r="B273" s="28"/>
      <c r="C273" s="28"/>
      <c r="D273" s="40"/>
      <c r="E273" s="39"/>
      <c r="F273" s="40"/>
      <c r="G273" s="40"/>
      <c r="H273" s="40"/>
      <c r="I273" s="40"/>
      <c r="J273" s="40"/>
      <c r="K273" s="40"/>
      <c r="L273" s="40"/>
      <c r="M273" s="10"/>
      <c r="N273" s="10"/>
      <c r="O273" s="21"/>
      <c r="P273" s="29"/>
      <c r="R273" s="5"/>
    </row>
    <row r="274" spans="1:18" s="8" customFormat="1" ht="17">
      <c r="A274" s="10"/>
      <c r="B274" s="28"/>
      <c r="C274" s="28"/>
      <c r="D274" s="40"/>
      <c r="E274" s="39"/>
      <c r="F274" s="40"/>
      <c r="G274" s="40"/>
      <c r="H274" s="40"/>
      <c r="I274" s="40"/>
      <c r="J274" s="40"/>
      <c r="K274" s="40"/>
      <c r="L274" s="40"/>
      <c r="M274" s="10"/>
      <c r="N274" s="10"/>
      <c r="O274" s="21"/>
      <c r="P274" s="29"/>
      <c r="R274" s="5"/>
    </row>
    <row r="275" spans="1:18" s="8" customFormat="1" ht="17">
      <c r="A275" s="10"/>
      <c r="B275" s="3"/>
      <c r="C275" s="28"/>
      <c r="D275" s="10"/>
      <c r="E275" s="35"/>
      <c r="F275" s="10"/>
      <c r="G275" s="10"/>
      <c r="H275" s="10"/>
      <c r="I275" s="10"/>
      <c r="J275" s="10"/>
      <c r="K275" s="10"/>
      <c r="L275" s="10"/>
      <c r="M275" s="10"/>
      <c r="N275" s="10"/>
      <c r="O275" s="21"/>
      <c r="P275" s="29"/>
      <c r="R275" s="5"/>
    </row>
    <row r="276" spans="1:18" s="8" customFormat="1" ht="17">
      <c r="A276" s="10"/>
      <c r="B276" s="28"/>
      <c r="C276" s="28"/>
      <c r="D276" s="40"/>
      <c r="E276" s="39"/>
      <c r="F276" s="40"/>
      <c r="G276" s="40"/>
      <c r="H276" s="40"/>
      <c r="I276" s="40"/>
      <c r="J276" s="40"/>
      <c r="K276" s="40"/>
      <c r="L276" s="40"/>
      <c r="M276" s="10"/>
      <c r="N276" s="10"/>
      <c r="O276" s="21"/>
      <c r="P276" s="29"/>
      <c r="R276" s="5"/>
    </row>
    <row r="277" spans="1:18" s="8" customFormat="1" ht="21" customHeight="1">
      <c r="A277" s="10"/>
      <c r="B277" s="3"/>
      <c r="C277" s="28"/>
      <c r="D277" s="10"/>
      <c r="E277" s="35"/>
      <c r="F277" s="10"/>
      <c r="G277" s="10"/>
      <c r="H277" s="10"/>
      <c r="I277" s="10"/>
      <c r="J277" s="10"/>
      <c r="K277" s="10"/>
      <c r="L277" s="10"/>
      <c r="M277" s="10"/>
      <c r="N277" s="10"/>
      <c r="O277" s="21"/>
      <c r="P277" s="29"/>
      <c r="R277" s="5"/>
    </row>
    <row r="278" spans="1:18" s="8" customFormat="1" ht="21" customHeight="1">
      <c r="A278" s="10"/>
      <c r="B278" s="28"/>
      <c r="C278" s="28"/>
      <c r="D278" s="39"/>
      <c r="E278" s="39"/>
      <c r="F278" s="39"/>
      <c r="G278" s="39"/>
      <c r="H278" s="39"/>
      <c r="I278" s="39"/>
      <c r="J278" s="39"/>
      <c r="K278" s="39"/>
      <c r="L278" s="39"/>
      <c r="M278" s="10"/>
      <c r="N278" s="10"/>
      <c r="O278" s="21"/>
      <c r="P278" s="29"/>
      <c r="R278" s="5"/>
    </row>
    <row r="279" spans="1:18" s="8" customFormat="1" ht="21" customHeight="1">
      <c r="A279" s="10"/>
      <c r="B279" s="28"/>
      <c r="C279" s="28"/>
      <c r="D279" s="39"/>
      <c r="E279" s="39"/>
      <c r="F279" s="39"/>
      <c r="G279" s="39"/>
      <c r="H279" s="39"/>
      <c r="I279" s="39"/>
      <c r="J279" s="39"/>
      <c r="K279" s="39"/>
      <c r="L279" s="39"/>
      <c r="M279" s="10"/>
      <c r="N279" s="10"/>
      <c r="O279" s="21"/>
      <c r="P279" s="29"/>
      <c r="R279" s="5"/>
    </row>
    <row r="280" spans="1:18" s="8" customFormat="1" ht="21" customHeight="1">
      <c r="A280" s="10"/>
      <c r="B280" s="28"/>
      <c r="C280" s="28"/>
      <c r="D280" s="39"/>
      <c r="E280" s="39"/>
      <c r="F280" s="39"/>
      <c r="G280" s="39"/>
      <c r="H280" s="39"/>
      <c r="I280" s="39"/>
      <c r="J280" s="39"/>
      <c r="K280" s="39"/>
      <c r="L280" s="39"/>
      <c r="M280" s="10"/>
      <c r="N280" s="10"/>
      <c r="O280" s="21"/>
      <c r="P280" s="29"/>
      <c r="R280" s="5"/>
    </row>
    <row r="281" spans="1:18" s="8" customFormat="1" ht="21" customHeight="1">
      <c r="A281" s="10"/>
      <c r="B281" s="28"/>
      <c r="C281" s="28"/>
      <c r="D281" s="39"/>
      <c r="E281" s="39"/>
      <c r="F281" s="39"/>
      <c r="G281" s="39"/>
      <c r="H281" s="39"/>
      <c r="I281" s="39"/>
      <c r="J281" s="39"/>
      <c r="K281" s="39"/>
      <c r="L281" s="39"/>
      <c r="M281" s="10"/>
      <c r="N281" s="10"/>
      <c r="O281" s="21"/>
      <c r="P281" s="29"/>
      <c r="R281" s="5"/>
    </row>
    <row r="282" spans="1:18" s="8" customFormat="1" ht="21" customHeight="1">
      <c r="A282" s="10"/>
      <c r="B282" s="28"/>
      <c r="C282" s="28"/>
      <c r="D282" s="39"/>
      <c r="E282" s="39"/>
      <c r="F282" s="39"/>
      <c r="G282" s="39"/>
      <c r="H282" s="39"/>
      <c r="I282" s="39"/>
      <c r="J282" s="39"/>
      <c r="K282" s="39"/>
      <c r="L282" s="39"/>
      <c r="M282" s="10"/>
      <c r="N282" s="10"/>
      <c r="O282" s="21"/>
      <c r="P282" s="29"/>
      <c r="R282" s="5"/>
    </row>
    <row r="283" spans="1:18" s="8" customFormat="1" ht="21" customHeight="1">
      <c r="A283" s="10"/>
      <c r="B283" s="34"/>
      <c r="C283" s="28"/>
      <c r="D283" s="40"/>
      <c r="E283" s="40"/>
      <c r="F283" s="40"/>
      <c r="G283" s="40"/>
      <c r="H283" s="40"/>
      <c r="I283" s="40"/>
      <c r="J283" s="40"/>
      <c r="K283" s="40"/>
      <c r="L283" s="40"/>
      <c r="M283" s="28"/>
      <c r="N283" s="28"/>
      <c r="O283" s="21"/>
      <c r="P283" s="29"/>
      <c r="R283" s="5"/>
    </row>
    <row r="284" spans="1:18" s="8" customFormat="1" ht="21" customHeight="1">
      <c r="A284" s="10"/>
      <c r="B284" s="28"/>
      <c r="C284" s="28"/>
      <c r="D284" s="39"/>
      <c r="E284" s="39"/>
      <c r="F284" s="39"/>
      <c r="G284" s="39"/>
      <c r="H284" s="39"/>
      <c r="I284" s="39"/>
      <c r="J284" s="39"/>
      <c r="K284" s="39"/>
      <c r="L284" s="39"/>
      <c r="M284" s="10"/>
      <c r="N284" s="10"/>
      <c r="O284" s="21"/>
      <c r="P284" s="29"/>
      <c r="R284" s="5"/>
    </row>
    <row r="285" spans="1:18" s="8" customFormat="1" ht="21" customHeight="1">
      <c r="A285" s="10"/>
      <c r="B285" s="28"/>
      <c r="C285" s="28"/>
      <c r="D285" s="39"/>
      <c r="E285" s="39"/>
      <c r="F285" s="39"/>
      <c r="G285" s="39"/>
      <c r="H285" s="39"/>
      <c r="I285" s="39"/>
      <c r="J285" s="39"/>
      <c r="K285" s="39"/>
      <c r="L285" s="39"/>
      <c r="M285" s="10"/>
      <c r="N285" s="10"/>
      <c r="O285" s="21"/>
      <c r="P285" s="29"/>
    </row>
    <row r="286" spans="1:18" s="8" customFormat="1" ht="21" customHeight="1">
      <c r="A286" s="10"/>
      <c r="B286" s="43"/>
      <c r="C286" s="28"/>
      <c r="D286" s="39"/>
      <c r="E286" s="39"/>
      <c r="F286" s="39"/>
      <c r="G286" s="39"/>
      <c r="H286" s="39"/>
      <c r="I286" s="39"/>
      <c r="J286" s="39"/>
      <c r="K286" s="39"/>
      <c r="L286" s="39"/>
      <c r="M286" s="10"/>
      <c r="N286" s="10"/>
      <c r="O286" s="21"/>
      <c r="P286" s="29"/>
      <c r="R286" s="5"/>
    </row>
    <row r="287" spans="1:18" s="8" customFormat="1" ht="21" customHeight="1">
      <c r="A287" s="10"/>
      <c r="B287" s="28"/>
      <c r="C287" s="28"/>
      <c r="D287" s="39"/>
      <c r="E287" s="39"/>
      <c r="F287" s="39"/>
      <c r="G287" s="39"/>
      <c r="H287" s="39"/>
      <c r="I287" s="39"/>
      <c r="J287" s="39"/>
      <c r="K287" s="39"/>
      <c r="L287" s="39"/>
      <c r="M287" s="10"/>
      <c r="N287" s="10"/>
      <c r="O287" s="21"/>
      <c r="P287" s="29"/>
      <c r="R287" s="5"/>
    </row>
    <row r="288" spans="1:18" s="8" customFormat="1" ht="21" customHeight="1">
      <c r="A288" s="10"/>
      <c r="B288" s="28"/>
      <c r="C288" s="28"/>
      <c r="D288" s="10"/>
      <c r="E288" s="39"/>
      <c r="F288" s="10"/>
      <c r="G288" s="10"/>
      <c r="H288" s="10"/>
      <c r="I288" s="10"/>
      <c r="J288" s="10"/>
      <c r="K288" s="10"/>
      <c r="L288" s="10"/>
      <c r="M288" s="10"/>
      <c r="N288" s="10"/>
      <c r="O288" s="21"/>
      <c r="P288" s="29"/>
      <c r="R288" s="5"/>
    </row>
    <row r="289" spans="1:18" s="8" customFormat="1" ht="21" customHeight="1">
      <c r="A289" s="10"/>
      <c r="B289" s="28"/>
      <c r="C289" s="28"/>
      <c r="D289" s="10"/>
      <c r="E289" s="39"/>
      <c r="F289" s="10"/>
      <c r="G289" s="10"/>
      <c r="H289" s="10"/>
      <c r="I289" s="10"/>
      <c r="J289" s="10"/>
      <c r="K289" s="10"/>
      <c r="L289" s="10"/>
      <c r="M289" s="10"/>
      <c r="N289" s="10"/>
      <c r="O289" s="21"/>
      <c r="P289" s="29"/>
      <c r="R289" s="5"/>
    </row>
    <row r="290" spans="1:18" s="8" customFormat="1" ht="21" customHeight="1">
      <c r="A290" s="10"/>
      <c r="B290" s="28"/>
      <c r="C290" s="28"/>
      <c r="D290" s="39"/>
      <c r="E290" s="39"/>
      <c r="F290" s="39"/>
      <c r="G290" s="39"/>
      <c r="H290" s="39"/>
      <c r="I290" s="39"/>
      <c r="J290" s="39"/>
      <c r="K290" s="39"/>
      <c r="L290" s="39"/>
      <c r="M290" s="10"/>
      <c r="N290" s="10"/>
      <c r="O290" s="21"/>
      <c r="P290" s="29"/>
      <c r="R290" s="5"/>
    </row>
    <row r="291" spans="1:18" ht="21" customHeight="1">
      <c r="A291" s="10"/>
      <c r="B291" s="28"/>
      <c r="C291" s="28"/>
      <c r="D291" s="39"/>
      <c r="E291" s="39"/>
      <c r="F291" s="39"/>
      <c r="G291" s="39"/>
      <c r="H291" s="39"/>
      <c r="I291" s="39"/>
      <c r="J291" s="39"/>
      <c r="K291" s="39"/>
      <c r="L291" s="39"/>
      <c r="M291" s="10"/>
      <c r="N291" s="10"/>
      <c r="O291" s="21"/>
      <c r="P291" s="29"/>
    </row>
    <row r="292" spans="1:18" ht="21" customHeight="1"/>
    <row r="293" spans="1:18" ht="21" customHeight="1"/>
    <row r="294" spans="1:18" ht="21" customHeight="1"/>
    <row r="295" spans="1:18" ht="21" customHeight="1"/>
    <row r="296" spans="1:18" ht="21" customHeight="1"/>
    <row r="297" spans="1:18" ht="21" customHeight="1"/>
    <row r="298" spans="1:18" ht="21" customHeight="1"/>
    <row r="299" spans="1:18" ht="21" customHeight="1"/>
    <row r="300" spans="1:18" ht="21" customHeight="1"/>
    <row r="301" spans="1:18" ht="21" customHeight="1"/>
    <row r="302" spans="1:18" ht="21" customHeight="1"/>
    <row r="303" spans="1:18" ht="21" customHeight="1"/>
    <row r="304" spans="1:18"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sheetData>
  <autoFilter ref="A4:AF179">
    <sortState ref="A5:AE197">
      <sortCondition descending="1" ref="O4:O197"/>
    </sortState>
  </autoFilter>
  <conditionalFormatting sqref="M93 K39:M61 D1:J2 D3:H3 D4:I4 D5:J197">
    <cfRule type="cellIs" dxfId="152" priority="28" stopIfTrue="1" operator="equal">
      <formula>50</formula>
    </cfRule>
  </conditionalFormatting>
  <conditionalFormatting sqref="M92">
    <cfRule type="cellIs" dxfId="151" priority="27" stopIfTrue="1" operator="equal">
      <formula>50</formula>
    </cfRule>
  </conditionalFormatting>
  <conditionalFormatting sqref="M65">
    <cfRule type="cellIs" dxfId="150" priority="26" stopIfTrue="1" operator="equal">
      <formula>50</formula>
    </cfRule>
  </conditionalFormatting>
  <conditionalFormatting sqref="R33:AB35">
    <cfRule type="cellIs" dxfId="149" priority="25" stopIfTrue="1" operator="equal">
      <formula>50</formula>
    </cfRule>
  </conditionalFormatting>
  <conditionalFormatting sqref="M63 K62:L63">
    <cfRule type="cellIs" dxfId="148" priority="24" stopIfTrue="1" operator="equal">
      <formula>50</formula>
    </cfRule>
  </conditionalFormatting>
  <conditionalFormatting sqref="K38:M38">
    <cfRule type="cellIs" dxfId="147" priority="20" stopIfTrue="1" operator="equal">
      <formula>50</formula>
    </cfRule>
  </conditionalFormatting>
  <conditionalFormatting sqref="M62">
    <cfRule type="cellIs" dxfId="146" priority="23" stopIfTrue="1" operator="equal">
      <formula>50</formula>
    </cfRule>
  </conditionalFormatting>
  <conditionalFormatting sqref="K64:L64">
    <cfRule type="cellIs" dxfId="145" priority="22" stopIfTrue="1" operator="equal">
      <formula>50</formula>
    </cfRule>
  </conditionalFormatting>
  <conditionalFormatting sqref="M64">
    <cfRule type="cellIs" dxfId="144" priority="21" stopIfTrue="1" operator="equal">
      <formula>50</formula>
    </cfRule>
  </conditionalFormatting>
  <conditionalFormatting sqref="K119:M119">
    <cfRule type="cellIs" dxfId="143" priority="19" stopIfTrue="1" operator="equal">
      <formula>50</formula>
    </cfRule>
  </conditionalFormatting>
  <conditionalFormatting sqref="K156:M156">
    <cfRule type="cellIs" dxfId="142" priority="18" stopIfTrue="1" operator="equal">
      <formula>50</formula>
    </cfRule>
  </conditionalFormatting>
  <conditionalFormatting sqref="K154:M154">
    <cfRule type="cellIs" dxfId="141" priority="17" stopIfTrue="1" operator="equal">
      <formula>50</formula>
    </cfRule>
  </conditionalFormatting>
  <conditionalFormatting sqref="K155:M155">
    <cfRule type="cellIs" dxfId="140" priority="16" stopIfTrue="1" operator="equal">
      <formula>50</formula>
    </cfRule>
  </conditionalFormatting>
  <conditionalFormatting sqref="K161:M161">
    <cfRule type="cellIs" dxfId="139" priority="15" stopIfTrue="1" operator="equal">
      <formula>50</formula>
    </cfRule>
  </conditionalFormatting>
  <conditionalFormatting sqref="K160:M160">
    <cfRule type="cellIs" dxfId="138" priority="14" stopIfTrue="1" operator="equal">
      <formula>50</formula>
    </cfRule>
  </conditionalFormatting>
  <conditionalFormatting sqref="K159:M159">
    <cfRule type="cellIs" dxfId="137" priority="13" stopIfTrue="1" operator="equal">
      <formula>50</formula>
    </cfRule>
  </conditionalFormatting>
  <conditionalFormatting sqref="K162:M162 K166:M166 K170:M170 K174:M174 K178:M178">
    <cfRule type="cellIs" dxfId="136" priority="12" stopIfTrue="1" operator="equal">
      <formula>50</formula>
    </cfRule>
  </conditionalFormatting>
  <conditionalFormatting sqref="K10:M10">
    <cfRule type="cellIs" dxfId="135" priority="11" stopIfTrue="1" operator="equal">
      <formula>50</formula>
    </cfRule>
  </conditionalFormatting>
  <conditionalFormatting sqref="K11:M11">
    <cfRule type="cellIs" dxfId="134" priority="10" stopIfTrue="1" operator="equal">
      <formula>50</formula>
    </cfRule>
  </conditionalFormatting>
  <conditionalFormatting sqref="K21:M21">
    <cfRule type="cellIs" dxfId="133" priority="9" stopIfTrue="1" operator="equal">
      <formula>50</formula>
    </cfRule>
  </conditionalFormatting>
  <conditionalFormatting sqref="K20:M20">
    <cfRule type="cellIs" dxfId="132" priority="8" stopIfTrue="1" operator="equal">
      <formula>50</formula>
    </cfRule>
  </conditionalFormatting>
  <conditionalFormatting sqref="K23:M23">
    <cfRule type="cellIs" dxfId="131" priority="7" stopIfTrue="1" operator="equal">
      <formula>50</formula>
    </cfRule>
  </conditionalFormatting>
  <conditionalFormatting sqref="K24:M24">
    <cfRule type="cellIs" dxfId="130" priority="6" stopIfTrue="1" operator="equal">
      <formula>50</formula>
    </cfRule>
  </conditionalFormatting>
  <conditionalFormatting sqref="K32:M32">
    <cfRule type="cellIs" dxfId="129" priority="5" stopIfTrue="1" operator="equal">
      <formula>50</formula>
    </cfRule>
  </conditionalFormatting>
  <conditionalFormatting sqref="K33:M37 K25:M31 K120:M153 K22:M22 K12:M19 K163:M165 K157:M158 K65:L118 D180:M65535 K167:M169 K171:M173 K175:M177 F4:I4 K1:M4 K6:M9 K179:M197 M5:M197">
    <cfRule type="cellIs" dxfId="128" priority="29" stopIfTrue="1" operator="equal">
      <formula>50</formula>
    </cfRule>
  </conditionalFormatting>
  <conditionalFormatting sqref="I3">
    <cfRule type="cellIs" dxfId="127" priority="4" stopIfTrue="1" operator="equal">
      <formula>50</formula>
    </cfRule>
  </conditionalFormatting>
  <conditionalFormatting sqref="J3:J4">
    <cfRule type="cellIs" dxfId="126" priority="3" stopIfTrue="1" operator="equal">
      <formula>50</formula>
    </cfRule>
  </conditionalFormatting>
  <conditionalFormatting sqref="K5:K197">
    <cfRule type="cellIs" dxfId="125" priority="2" stopIfTrue="1" operator="equal">
      <formula>50</formula>
    </cfRule>
  </conditionalFormatting>
  <conditionalFormatting sqref="L5:L197">
    <cfRule type="cellIs" dxfId="124" priority="1" stopIfTrue="1" operator="equal">
      <formula>50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3"/>
  <sheetViews>
    <sheetView workbookViewId="0">
      <selection activeCell="AM18" sqref="AM18"/>
    </sheetView>
  </sheetViews>
  <sheetFormatPr baseColWidth="10" defaultColWidth="9.1640625" defaultRowHeight="15" x14ac:dyDescent="0"/>
  <cols>
    <col min="1" max="1" width="4" style="5" customWidth="1"/>
    <col min="2" max="2" width="20.5" style="506" customWidth="1"/>
    <col min="3" max="3" width="6.33203125" style="506" customWidth="1"/>
    <col min="4" max="4" width="4.5" style="5" customWidth="1"/>
    <col min="5" max="5" width="2.83203125" style="5" customWidth="1"/>
    <col min="6" max="7" width="3.33203125" style="5" customWidth="1"/>
    <col min="8" max="8" width="18.6640625" style="5" customWidth="1"/>
    <col min="9" max="10" width="6.5" style="5" customWidth="1"/>
    <col min="11" max="11" width="6.83203125" style="5" customWidth="1"/>
    <col min="12" max="12" width="8" style="447" customWidth="1"/>
    <col min="13" max="14" width="5.33203125" style="5" customWidth="1"/>
    <col min="15" max="15" width="19.83203125" style="5" customWidth="1"/>
    <col min="16" max="17" width="6.6640625" style="5" customWidth="1"/>
    <col min="18" max="18" width="3.5" style="5" customWidth="1"/>
    <col min="19" max="19" width="4.1640625" style="5" customWidth="1"/>
    <col min="20" max="20" width="21.6640625" style="5" customWidth="1"/>
    <col min="21" max="21" width="7" style="5" customWidth="1"/>
    <col min="22" max="22" width="6.5" style="5" customWidth="1"/>
    <col min="23" max="23" width="4" style="5" customWidth="1"/>
    <col min="24" max="24" width="5.1640625" style="5" customWidth="1"/>
    <col min="25" max="25" width="21.5" style="5" customWidth="1"/>
    <col min="26" max="26" width="8.5" style="5" customWidth="1"/>
    <col min="27" max="27" width="8.1640625" style="5" customWidth="1"/>
    <col min="28" max="28" width="5.5" style="5" customWidth="1"/>
    <col min="29" max="29" width="4.6640625" style="5" customWidth="1"/>
    <col min="30" max="30" width="19.5" style="5" customWidth="1"/>
    <col min="31" max="31" width="12.5" style="5" customWidth="1"/>
    <col min="32" max="32" width="8.83203125" style="5" customWidth="1"/>
    <col min="33" max="33" width="5.83203125" style="5" customWidth="1"/>
    <col min="34" max="34" width="15" style="5" customWidth="1"/>
    <col min="35" max="38" width="9.1640625" style="5"/>
    <col min="39" max="39" width="17.5" style="5" customWidth="1"/>
    <col min="40" max="16384" width="9.1640625" style="5"/>
  </cols>
  <sheetData>
    <row r="1" spans="1:41" ht="22.5" customHeight="1">
      <c r="A1" s="445"/>
      <c r="B1" s="446" t="s">
        <v>416</v>
      </c>
      <c r="C1" s="5"/>
    </row>
    <row r="2" spans="1:41" ht="14.25" customHeight="1" thickBot="1">
      <c r="B2" s="5"/>
      <c r="C2" s="5"/>
      <c r="Y2" s="2"/>
      <c r="Z2" s="2"/>
      <c r="AA2" s="2"/>
      <c r="AB2" s="2"/>
      <c r="AC2" s="2"/>
      <c r="AD2" s="2"/>
      <c r="AE2" s="2"/>
      <c r="AF2" s="2"/>
      <c r="AG2" s="2"/>
      <c r="AH2" s="2"/>
      <c r="AI2" s="2"/>
      <c r="AJ2" s="2"/>
      <c r="AK2" s="2"/>
      <c r="AL2" s="2"/>
    </row>
    <row r="3" spans="1:41" ht="15" customHeight="1" thickTop="1" thickBot="1">
      <c r="B3" s="448" t="s">
        <v>417</v>
      </c>
      <c r="C3" s="448" t="s">
        <v>28</v>
      </c>
      <c r="D3" s="448" t="s">
        <v>1</v>
      </c>
      <c r="H3" s="448" t="s">
        <v>418</v>
      </c>
      <c r="I3" s="448" t="s">
        <v>28</v>
      </c>
      <c r="J3" s="448" t="s">
        <v>1</v>
      </c>
      <c r="K3" s="2"/>
      <c r="L3" s="449"/>
      <c r="M3" s="2"/>
      <c r="O3" s="448" t="s">
        <v>419</v>
      </c>
      <c r="P3" s="448" t="s">
        <v>28</v>
      </c>
      <c r="Q3" s="448" t="s">
        <v>1</v>
      </c>
      <c r="R3" s="2"/>
      <c r="T3" s="450" t="s">
        <v>420</v>
      </c>
      <c r="U3" s="450" t="s">
        <v>28</v>
      </c>
      <c r="V3" s="450" t="s">
        <v>1</v>
      </c>
      <c r="Y3" s="450" t="s">
        <v>421</v>
      </c>
      <c r="Z3" s="450" t="s">
        <v>28</v>
      </c>
      <c r="AA3" s="450" t="s">
        <v>1</v>
      </c>
      <c r="AB3" s="2"/>
      <c r="AD3" s="5" t="s">
        <v>422</v>
      </c>
      <c r="AE3" s="5">
        <v>10</v>
      </c>
      <c r="AG3" s="2"/>
      <c r="AH3" s="2"/>
      <c r="AI3" s="2"/>
      <c r="AJ3" s="2"/>
      <c r="AK3" s="2"/>
      <c r="AL3" s="2"/>
      <c r="AM3" s="131" t="s">
        <v>13</v>
      </c>
      <c r="AN3" s="131" t="s">
        <v>15</v>
      </c>
      <c r="AO3"/>
    </row>
    <row r="4" spans="1:41" ht="15" customHeight="1" thickTop="1" thickBot="1">
      <c r="A4" s="451">
        <v>1</v>
      </c>
      <c r="B4" s="452" t="s">
        <v>36</v>
      </c>
      <c r="C4" s="453">
        <v>59</v>
      </c>
      <c r="D4" s="453">
        <v>99</v>
      </c>
      <c r="E4" s="454"/>
      <c r="F4" s="454"/>
      <c r="G4" s="451">
        <v>1</v>
      </c>
      <c r="H4" s="452" t="s">
        <v>423</v>
      </c>
      <c r="I4" s="453">
        <v>57</v>
      </c>
      <c r="J4" s="453">
        <v>32</v>
      </c>
      <c r="K4" s="454"/>
      <c r="L4" s="455"/>
      <c r="M4" s="2"/>
      <c r="N4" s="456">
        <v>1</v>
      </c>
      <c r="O4" s="457" t="s">
        <v>34</v>
      </c>
      <c r="P4" s="458">
        <v>43</v>
      </c>
      <c r="Q4" s="458">
        <v>124</v>
      </c>
      <c r="R4" s="386"/>
      <c r="S4" s="456">
        <v>1</v>
      </c>
      <c r="T4" s="459" t="s">
        <v>103</v>
      </c>
      <c r="U4" s="460">
        <v>51</v>
      </c>
      <c r="V4" s="460">
        <v>62</v>
      </c>
      <c r="X4" s="456">
        <v>1</v>
      </c>
      <c r="Y4" s="461" t="s">
        <v>279</v>
      </c>
      <c r="Z4" s="460">
        <v>52</v>
      </c>
      <c r="AA4" s="460">
        <v>63</v>
      </c>
      <c r="AB4" s="2"/>
      <c r="AD4" s="5" t="s">
        <v>424</v>
      </c>
      <c r="AE4" s="5">
        <v>2</v>
      </c>
      <c r="AG4" s="2"/>
      <c r="AH4" s="2" t="s">
        <v>425</v>
      </c>
      <c r="AI4" s="2">
        <v>10</v>
      </c>
      <c r="AJ4" s="2"/>
      <c r="AK4" s="2"/>
      <c r="AL4" s="2"/>
      <c r="AM4" s="143" t="s">
        <v>6</v>
      </c>
      <c r="AN4" s="1">
        <v>50</v>
      </c>
      <c r="AO4"/>
    </row>
    <row r="5" spans="1:41" ht="15" customHeight="1" thickBot="1">
      <c r="A5" s="451">
        <v>2</v>
      </c>
      <c r="B5" s="462" t="s">
        <v>155</v>
      </c>
      <c r="C5" s="463">
        <v>45</v>
      </c>
      <c r="D5" s="463">
        <v>92</v>
      </c>
      <c r="E5" s="454"/>
      <c r="F5" s="454"/>
      <c r="G5" s="451">
        <v>2</v>
      </c>
      <c r="H5" s="462" t="s">
        <v>398</v>
      </c>
      <c r="I5" s="463">
        <v>53</v>
      </c>
      <c r="J5" s="463">
        <v>38</v>
      </c>
      <c r="K5" s="454"/>
      <c r="L5" s="455"/>
      <c r="M5" s="2"/>
      <c r="N5" s="456">
        <v>2</v>
      </c>
      <c r="O5" s="464" t="s">
        <v>2</v>
      </c>
      <c r="P5" s="460">
        <v>43</v>
      </c>
      <c r="Q5" s="460">
        <v>100</v>
      </c>
      <c r="R5" s="386"/>
      <c r="S5" s="456">
        <v>2</v>
      </c>
      <c r="T5" s="465" t="s">
        <v>23</v>
      </c>
      <c r="U5" s="460">
        <v>43</v>
      </c>
      <c r="V5" s="460">
        <v>58</v>
      </c>
      <c r="X5" s="456">
        <v>2</v>
      </c>
      <c r="Y5" s="466" t="s">
        <v>125</v>
      </c>
      <c r="Z5" s="460">
        <v>47</v>
      </c>
      <c r="AA5" s="460">
        <v>54</v>
      </c>
      <c r="AB5" s="2"/>
      <c r="AG5" s="386"/>
      <c r="AH5" s="2" t="s">
        <v>426</v>
      </c>
      <c r="AI5" s="2">
        <v>8</v>
      </c>
      <c r="AJ5" s="2"/>
      <c r="AK5" s="2"/>
      <c r="AL5" s="2"/>
      <c r="AM5" s="143" t="s">
        <v>5</v>
      </c>
      <c r="AN5" s="1">
        <v>47</v>
      </c>
      <c r="AO5"/>
    </row>
    <row r="6" spans="1:41" ht="15" customHeight="1" thickBot="1">
      <c r="A6" s="451">
        <v>3</v>
      </c>
      <c r="B6" s="462" t="s">
        <v>16</v>
      </c>
      <c r="C6" s="463">
        <v>44</v>
      </c>
      <c r="D6" s="463">
        <v>92</v>
      </c>
      <c r="E6" s="454"/>
      <c r="F6" s="454"/>
      <c r="G6" s="451">
        <v>3</v>
      </c>
      <c r="H6" s="462" t="s">
        <v>281</v>
      </c>
      <c r="I6" s="463">
        <v>51</v>
      </c>
      <c r="J6" s="463">
        <v>39</v>
      </c>
      <c r="K6" s="454"/>
      <c r="L6" s="455"/>
      <c r="M6" s="2"/>
      <c r="N6" s="456">
        <v>3</v>
      </c>
      <c r="O6" s="467" t="s">
        <v>6</v>
      </c>
      <c r="P6" s="460">
        <v>40</v>
      </c>
      <c r="Q6" s="460">
        <v>101</v>
      </c>
      <c r="R6" s="386"/>
      <c r="S6" s="456">
        <v>3</v>
      </c>
      <c r="T6" s="464" t="s">
        <v>8</v>
      </c>
      <c r="U6" s="460">
        <v>39</v>
      </c>
      <c r="V6" s="460">
        <v>53</v>
      </c>
      <c r="X6" s="456">
        <v>3</v>
      </c>
      <c r="Y6" s="468" t="s">
        <v>208</v>
      </c>
      <c r="Z6" s="460">
        <v>46</v>
      </c>
      <c r="AA6" s="460">
        <v>59</v>
      </c>
      <c r="AB6" s="2"/>
      <c r="AD6" s="5" t="s">
        <v>427</v>
      </c>
      <c r="AE6" s="5">
        <v>10</v>
      </c>
      <c r="AG6" s="2"/>
      <c r="AH6" s="2"/>
      <c r="AI6" s="2"/>
      <c r="AJ6" s="2"/>
      <c r="AK6" s="2"/>
      <c r="AL6" s="2"/>
      <c r="AM6" s="143" t="s">
        <v>2</v>
      </c>
      <c r="AN6" s="1">
        <v>45</v>
      </c>
      <c r="AO6"/>
    </row>
    <row r="7" spans="1:41" ht="15" customHeight="1" thickBot="1">
      <c r="A7" s="451">
        <v>4</v>
      </c>
      <c r="B7" s="462" t="s">
        <v>5</v>
      </c>
      <c r="C7" s="463">
        <v>43</v>
      </c>
      <c r="D7" s="463">
        <v>86</v>
      </c>
      <c r="E7" s="454"/>
      <c r="F7" s="454"/>
      <c r="G7" s="469">
        <v>4</v>
      </c>
      <c r="H7" s="470" t="s">
        <v>428</v>
      </c>
      <c r="I7" s="471">
        <v>42</v>
      </c>
      <c r="J7" s="471">
        <v>25</v>
      </c>
      <c r="K7" s="386"/>
      <c r="L7" s="455"/>
      <c r="M7" s="2"/>
      <c r="N7" s="456">
        <v>4</v>
      </c>
      <c r="O7" s="472" t="s">
        <v>5</v>
      </c>
      <c r="P7" s="460">
        <v>39</v>
      </c>
      <c r="Q7" s="460">
        <v>64</v>
      </c>
      <c r="R7" s="386"/>
      <c r="S7" s="456">
        <v>4</v>
      </c>
      <c r="T7" s="468" t="s">
        <v>280</v>
      </c>
      <c r="U7" s="460">
        <v>38</v>
      </c>
      <c r="V7" s="460">
        <v>50</v>
      </c>
      <c r="X7" s="456">
        <v>4</v>
      </c>
      <c r="Y7" s="473" t="str">
        <f>B11</f>
        <v>Matthew Knapp</v>
      </c>
      <c r="Z7" s="460">
        <v>45</v>
      </c>
      <c r="AA7" s="460">
        <v>46</v>
      </c>
      <c r="AB7" s="2"/>
      <c r="AD7" s="5" t="s">
        <v>429</v>
      </c>
      <c r="AE7" s="5">
        <v>4</v>
      </c>
      <c r="AG7" s="2"/>
      <c r="AH7" s="2" t="s">
        <v>430</v>
      </c>
      <c r="AI7" s="2">
        <v>10</v>
      </c>
      <c r="AJ7" s="2"/>
      <c r="AK7" s="2"/>
      <c r="AL7" s="2"/>
      <c r="AM7" s="143" t="s">
        <v>34</v>
      </c>
      <c r="AN7" s="1">
        <v>43</v>
      </c>
      <c r="AO7"/>
    </row>
    <row r="8" spans="1:41" ht="15" customHeight="1" thickBot="1">
      <c r="A8" s="469">
        <v>5</v>
      </c>
      <c r="B8" s="470" t="s">
        <v>320</v>
      </c>
      <c r="C8" s="471">
        <v>41</v>
      </c>
      <c r="D8" s="471">
        <v>80</v>
      </c>
      <c r="E8" s="454"/>
      <c r="F8" s="454"/>
      <c r="G8" s="469">
        <v>5</v>
      </c>
      <c r="H8" s="470" t="s">
        <v>475</v>
      </c>
      <c r="I8" s="471">
        <v>35</v>
      </c>
      <c r="J8" s="471">
        <v>36</v>
      </c>
      <c r="K8" s="454"/>
      <c r="L8" s="455"/>
      <c r="M8" s="2"/>
      <c r="N8" s="456">
        <v>5</v>
      </c>
      <c r="O8" s="460" t="s">
        <v>16</v>
      </c>
      <c r="P8" s="458">
        <v>38</v>
      </c>
      <c r="Q8" s="458">
        <v>74</v>
      </c>
      <c r="R8" s="386"/>
      <c r="S8" s="456">
        <v>5</v>
      </c>
      <c r="T8" s="468" t="s">
        <v>50</v>
      </c>
      <c r="U8" s="460">
        <v>38</v>
      </c>
      <c r="V8" s="460">
        <v>42</v>
      </c>
      <c r="X8" s="456">
        <v>5</v>
      </c>
      <c r="Y8" s="474" t="s">
        <v>27</v>
      </c>
      <c r="Z8" s="460">
        <v>39</v>
      </c>
      <c r="AA8" s="460">
        <v>40</v>
      </c>
      <c r="AB8" s="2"/>
      <c r="AG8" s="386"/>
      <c r="AH8" s="2" t="s">
        <v>431</v>
      </c>
      <c r="AI8" s="2">
        <v>6</v>
      </c>
      <c r="AJ8" s="2"/>
      <c r="AK8" s="2"/>
      <c r="AL8" s="2"/>
      <c r="AM8" s="143" t="str">
        <f>O8</f>
        <v>Roy Campbell</v>
      </c>
      <c r="AN8" s="1">
        <v>41</v>
      </c>
      <c r="AO8"/>
    </row>
    <row r="9" spans="1:41" ht="15" customHeight="1" thickBot="1">
      <c r="A9" s="469">
        <v>6</v>
      </c>
      <c r="B9" s="470" t="s">
        <v>109</v>
      </c>
      <c r="C9" s="471">
        <v>37</v>
      </c>
      <c r="D9" s="471">
        <v>83</v>
      </c>
      <c r="E9" s="454"/>
      <c r="F9" s="454"/>
      <c r="G9" s="475">
        <v>6</v>
      </c>
      <c r="H9" s="476" t="s">
        <v>357</v>
      </c>
      <c r="I9" s="477">
        <v>33</v>
      </c>
      <c r="J9" s="477">
        <v>20</v>
      </c>
      <c r="K9" s="386"/>
      <c r="L9" s="455"/>
      <c r="M9" s="2"/>
      <c r="N9" s="456">
        <v>6</v>
      </c>
      <c r="O9" s="468" t="s">
        <v>36</v>
      </c>
      <c r="P9" s="460">
        <v>37</v>
      </c>
      <c r="Q9" s="460">
        <v>102</v>
      </c>
      <c r="R9" s="386"/>
      <c r="S9" s="456">
        <v>6</v>
      </c>
      <c r="T9" s="468" t="s">
        <v>3</v>
      </c>
      <c r="U9" s="460">
        <v>37</v>
      </c>
      <c r="V9" s="460">
        <v>49</v>
      </c>
      <c r="X9" s="456">
        <v>6</v>
      </c>
      <c r="Y9" s="478" t="s">
        <v>121</v>
      </c>
      <c r="Z9" s="460">
        <v>37</v>
      </c>
      <c r="AA9" s="460">
        <v>53</v>
      </c>
      <c r="AB9" s="2"/>
      <c r="AD9" s="5" t="s">
        <v>427</v>
      </c>
      <c r="AE9" s="5">
        <v>10</v>
      </c>
      <c r="AG9" s="386"/>
      <c r="AH9" s="2"/>
      <c r="AI9" s="2"/>
      <c r="AJ9" s="2"/>
      <c r="AK9" s="2"/>
      <c r="AL9" s="2"/>
      <c r="AM9" s="143" t="str">
        <f t="shared" ref="AM9:AM13" si="0">O9</f>
        <v>Andrew Hutchinson</v>
      </c>
      <c r="AN9" s="1">
        <v>40</v>
      </c>
      <c r="AO9"/>
    </row>
    <row r="10" spans="1:41" ht="15" customHeight="1" thickBot="1">
      <c r="A10" s="479">
        <v>7</v>
      </c>
      <c r="B10" s="474" t="s">
        <v>27</v>
      </c>
      <c r="C10" s="480">
        <v>28</v>
      </c>
      <c r="D10" s="480">
        <v>65</v>
      </c>
      <c r="E10" s="454"/>
      <c r="F10" s="454"/>
      <c r="G10" s="475">
        <v>7</v>
      </c>
      <c r="H10" s="476" t="s">
        <v>405</v>
      </c>
      <c r="I10" s="477">
        <v>29</v>
      </c>
      <c r="J10" s="477">
        <v>23</v>
      </c>
      <c r="K10" s="386"/>
      <c r="L10" s="455"/>
      <c r="M10" s="2"/>
      <c r="N10" s="456">
        <v>7</v>
      </c>
      <c r="O10" s="468" t="s">
        <v>42</v>
      </c>
      <c r="P10" s="460">
        <v>37</v>
      </c>
      <c r="Q10" s="460">
        <v>96</v>
      </c>
      <c r="R10" s="386"/>
      <c r="S10" s="456">
        <v>7</v>
      </c>
      <c r="T10" s="460" t="str">
        <f>B8</f>
        <v>James Medway</v>
      </c>
      <c r="U10" s="460">
        <v>36</v>
      </c>
      <c r="V10" s="460">
        <v>65</v>
      </c>
      <c r="X10" s="456">
        <v>7</v>
      </c>
      <c r="Y10" s="460" t="s">
        <v>432</v>
      </c>
      <c r="Z10" s="460">
        <v>36</v>
      </c>
      <c r="AA10" s="460">
        <v>46</v>
      </c>
      <c r="AB10" s="2"/>
      <c r="AD10" s="5" t="s">
        <v>424</v>
      </c>
      <c r="AE10" s="5">
        <v>4</v>
      </c>
      <c r="AG10" s="386"/>
      <c r="AH10" s="2"/>
      <c r="AI10" s="2"/>
      <c r="AJ10" s="2"/>
      <c r="AK10" s="2"/>
      <c r="AL10" s="2"/>
      <c r="AM10" s="143" t="str">
        <f t="shared" si="0"/>
        <v>Ron Langill</v>
      </c>
      <c r="AN10" s="1">
        <v>39</v>
      </c>
      <c r="AO10"/>
    </row>
    <row r="11" spans="1:41" ht="15" customHeight="1" thickBot="1">
      <c r="A11" s="481">
        <v>8</v>
      </c>
      <c r="B11" s="468" t="s">
        <v>327</v>
      </c>
      <c r="C11" s="460">
        <v>25</v>
      </c>
      <c r="D11" s="460">
        <v>68</v>
      </c>
      <c r="E11" s="454"/>
      <c r="F11" s="454"/>
      <c r="G11" s="481">
        <v>8</v>
      </c>
      <c r="H11" s="468" t="s">
        <v>433</v>
      </c>
      <c r="I11" s="460">
        <v>24</v>
      </c>
      <c r="J11" s="460">
        <v>10</v>
      </c>
      <c r="K11" s="386"/>
      <c r="L11" s="455"/>
      <c r="M11" s="2"/>
      <c r="N11" s="456">
        <v>8</v>
      </c>
      <c r="O11" s="468" t="s">
        <v>155</v>
      </c>
      <c r="P11" s="460">
        <v>32</v>
      </c>
      <c r="Q11" s="460">
        <v>80</v>
      </c>
      <c r="R11" s="386"/>
      <c r="S11" s="456">
        <v>8</v>
      </c>
      <c r="T11" s="460" t="s">
        <v>109</v>
      </c>
      <c r="U11" s="460">
        <v>34</v>
      </c>
      <c r="V11" s="460">
        <v>52</v>
      </c>
      <c r="X11" s="456">
        <v>8</v>
      </c>
      <c r="Y11" s="468" t="s">
        <v>45</v>
      </c>
      <c r="Z11" s="460">
        <v>24</v>
      </c>
      <c r="AA11" s="460">
        <v>53</v>
      </c>
      <c r="AB11" s="2"/>
      <c r="AG11" s="386"/>
      <c r="AH11" s="482" t="s">
        <v>434</v>
      </c>
      <c r="AI11" s="2"/>
      <c r="AJ11" s="2"/>
      <c r="AK11" s="2"/>
      <c r="AL11" s="2"/>
      <c r="AM11" s="143" t="str">
        <f t="shared" si="0"/>
        <v>Kris Flossbach</v>
      </c>
      <c r="AN11" s="1">
        <v>38</v>
      </c>
      <c r="AO11"/>
    </row>
    <row r="12" spans="1:41" ht="15" customHeight="1" thickBot="1">
      <c r="A12" s="481">
        <v>9</v>
      </c>
      <c r="B12" s="468" t="s">
        <v>125</v>
      </c>
      <c r="C12" s="460">
        <v>21</v>
      </c>
      <c r="D12" s="460">
        <v>66</v>
      </c>
      <c r="E12" s="454"/>
      <c r="F12" s="454"/>
      <c r="G12" s="481">
        <v>9</v>
      </c>
      <c r="H12" s="468" t="s">
        <v>435</v>
      </c>
      <c r="I12" s="460">
        <v>21</v>
      </c>
      <c r="J12" s="460">
        <v>20</v>
      </c>
      <c r="K12" s="386"/>
      <c r="L12" s="455"/>
      <c r="M12" s="2"/>
      <c r="N12" s="456">
        <v>9</v>
      </c>
      <c r="O12" s="460" t="str">
        <f>B28</f>
        <v>Raymond Kappes</v>
      </c>
      <c r="P12" s="460">
        <v>30</v>
      </c>
      <c r="Q12" s="460">
        <v>81</v>
      </c>
      <c r="R12" s="386"/>
      <c r="S12" s="456">
        <v>9</v>
      </c>
      <c r="T12" s="483" t="s">
        <v>326</v>
      </c>
      <c r="U12" s="460">
        <v>27</v>
      </c>
      <c r="V12" s="460">
        <v>72</v>
      </c>
      <c r="X12" s="456">
        <v>9</v>
      </c>
      <c r="Y12" s="468" t="s">
        <v>436</v>
      </c>
      <c r="Z12" s="460">
        <v>21</v>
      </c>
      <c r="AA12" s="460">
        <v>46</v>
      </c>
      <c r="AB12" s="2"/>
      <c r="AD12" s="5" t="s">
        <v>429</v>
      </c>
      <c r="AE12" s="5">
        <v>9</v>
      </c>
      <c r="AG12" s="2"/>
      <c r="AH12" s="484" t="s">
        <v>437</v>
      </c>
      <c r="AI12" s="2"/>
      <c r="AJ12" s="2"/>
      <c r="AK12" s="2"/>
      <c r="AL12" s="2"/>
      <c r="AM12" s="143" t="str">
        <f t="shared" si="0"/>
        <v>Raymond Kappes</v>
      </c>
      <c r="AN12" s="1">
        <v>37</v>
      </c>
      <c r="AO12"/>
    </row>
    <row r="13" spans="1:41" ht="15" customHeight="1" thickBot="1">
      <c r="A13" s="485">
        <v>10</v>
      </c>
      <c r="B13" s="473" t="s">
        <v>432</v>
      </c>
      <c r="C13" s="486">
        <v>17</v>
      </c>
      <c r="D13" s="486">
        <v>47</v>
      </c>
      <c r="E13" s="454"/>
      <c r="F13" s="454"/>
      <c r="G13" s="481">
        <v>10</v>
      </c>
      <c r="H13" s="468" t="s">
        <v>410</v>
      </c>
      <c r="I13" s="460">
        <v>15</v>
      </c>
      <c r="J13" s="460">
        <v>10</v>
      </c>
      <c r="K13" s="386"/>
      <c r="L13" s="455"/>
      <c r="M13" s="2"/>
      <c r="N13" s="456">
        <v>10</v>
      </c>
      <c r="O13" s="487" t="s">
        <v>4</v>
      </c>
      <c r="P13" s="460">
        <v>21</v>
      </c>
      <c r="Q13" s="460">
        <v>97</v>
      </c>
      <c r="R13" s="386"/>
      <c r="S13" s="456">
        <v>10</v>
      </c>
      <c r="T13" s="386" t="s">
        <v>40</v>
      </c>
      <c r="U13" s="460">
        <v>19</v>
      </c>
      <c r="V13" s="460">
        <v>35</v>
      </c>
      <c r="X13" s="456">
        <v>10</v>
      </c>
      <c r="Y13" s="468" t="s">
        <v>438</v>
      </c>
      <c r="Z13" s="460">
        <v>13</v>
      </c>
      <c r="AA13" s="460">
        <v>24</v>
      </c>
      <c r="AB13" s="2"/>
      <c r="AD13" s="5" t="s">
        <v>422</v>
      </c>
      <c r="AE13" s="2">
        <v>1</v>
      </c>
      <c r="AG13" s="386"/>
      <c r="AH13" s="2"/>
      <c r="AI13" s="2"/>
      <c r="AJ13" s="2"/>
      <c r="AK13" s="2"/>
      <c r="AL13" s="2"/>
      <c r="AM13" s="143" t="str">
        <f t="shared" si="0"/>
        <v>Nathan Walsh</v>
      </c>
      <c r="AN13" s="1">
        <v>36</v>
      </c>
      <c r="AO13"/>
    </row>
    <row r="14" spans="1:41" ht="15" customHeight="1" thickBot="1">
      <c r="A14" s="488"/>
      <c r="B14" s="489"/>
      <c r="C14" s="489"/>
      <c r="D14" s="489"/>
      <c r="E14" s="454"/>
      <c r="F14" s="454"/>
      <c r="G14" s="488"/>
      <c r="H14" s="489"/>
      <c r="I14" s="489"/>
      <c r="J14" s="489"/>
      <c r="K14" s="386"/>
      <c r="L14" s="455"/>
      <c r="M14" s="2"/>
      <c r="N14" s="490"/>
      <c r="O14" s="489"/>
      <c r="P14" s="489"/>
      <c r="Q14" s="489"/>
      <c r="R14" s="386"/>
      <c r="Y14" s="2"/>
      <c r="Z14" s="386"/>
      <c r="AA14" s="2"/>
      <c r="AB14" s="2"/>
      <c r="AC14" s="386"/>
      <c r="AD14" s="386"/>
      <c r="AE14" s="386"/>
      <c r="AF14" s="386"/>
      <c r="AG14" s="386"/>
      <c r="AH14" s="2"/>
      <c r="AI14" s="2"/>
      <c r="AJ14" s="2"/>
      <c r="AK14" s="2"/>
      <c r="AL14" s="2"/>
      <c r="AM14" s="143" t="str">
        <f>T5</f>
        <v>Rex Johnston</v>
      </c>
      <c r="AN14" s="1">
        <f>35+2</f>
        <v>37</v>
      </c>
      <c r="AO14" s="186" t="s">
        <v>227</v>
      </c>
    </row>
    <row r="15" spans="1:41" ht="15" customHeight="1" thickTop="1" thickBot="1">
      <c r="A15" s="454"/>
      <c r="B15" s="450" t="s">
        <v>439</v>
      </c>
      <c r="C15" s="450" t="s">
        <v>28</v>
      </c>
      <c r="D15" s="450" t="s">
        <v>1</v>
      </c>
      <c r="E15" s="454"/>
      <c r="F15" s="454"/>
      <c r="G15" s="454"/>
      <c r="H15" s="450" t="s">
        <v>440</v>
      </c>
      <c r="I15" s="450" t="s">
        <v>28</v>
      </c>
      <c r="J15" s="450" t="s">
        <v>1</v>
      </c>
      <c r="K15" s="2"/>
      <c r="L15" s="449"/>
      <c r="M15" s="386"/>
      <c r="O15" s="448" t="s">
        <v>441</v>
      </c>
      <c r="P15" s="448" t="s">
        <v>28</v>
      </c>
      <c r="Q15" s="448" t="s">
        <v>1</v>
      </c>
      <c r="R15" s="386"/>
      <c r="S15" s="454"/>
      <c r="T15" s="450" t="s">
        <v>442</v>
      </c>
      <c r="U15" s="450" t="s">
        <v>28</v>
      </c>
      <c r="V15" s="450" t="s">
        <v>1</v>
      </c>
      <c r="X15" s="454"/>
      <c r="Y15" s="450" t="s">
        <v>443</v>
      </c>
      <c r="Z15" s="450" t="s">
        <v>28</v>
      </c>
      <c r="AA15" s="450" t="s">
        <v>1</v>
      </c>
      <c r="AB15" s="491"/>
      <c r="AC15" s="454"/>
      <c r="AD15" s="450" t="s">
        <v>444</v>
      </c>
      <c r="AE15" s="450" t="s">
        <v>28</v>
      </c>
      <c r="AF15" s="450" t="s">
        <v>1</v>
      </c>
      <c r="AG15" s="492"/>
      <c r="AH15" s="5" t="s">
        <v>445</v>
      </c>
      <c r="AI15" s="5">
        <v>9</v>
      </c>
      <c r="AJ15" s="2"/>
      <c r="AK15" s="5" t="s">
        <v>445</v>
      </c>
      <c r="AL15" s="2">
        <v>10</v>
      </c>
      <c r="AM15" s="143" t="str">
        <f>T4</f>
        <v>Josh Carrafiello</v>
      </c>
      <c r="AN15" s="1">
        <f>34+1</f>
        <v>35</v>
      </c>
      <c r="AO15" s="186" t="s">
        <v>228</v>
      </c>
    </row>
    <row r="16" spans="1:41" ht="15" customHeight="1" thickTop="1" thickBot="1">
      <c r="A16" s="451">
        <v>1</v>
      </c>
      <c r="B16" s="452" t="s">
        <v>34</v>
      </c>
      <c r="C16" s="453">
        <v>60</v>
      </c>
      <c r="D16" s="453">
        <v>101</v>
      </c>
      <c r="E16" s="454"/>
      <c r="F16" s="454"/>
      <c r="G16" s="451">
        <v>1</v>
      </c>
      <c r="H16" s="462" t="s">
        <v>396</v>
      </c>
      <c r="I16" s="463">
        <v>62</v>
      </c>
      <c r="J16" s="463">
        <v>52</v>
      </c>
      <c r="K16" s="386"/>
      <c r="L16" s="455"/>
      <c r="M16" s="386"/>
      <c r="N16" s="481">
        <v>1</v>
      </c>
      <c r="O16" s="493" t="s">
        <v>396</v>
      </c>
      <c r="P16" s="458">
        <v>49</v>
      </c>
      <c r="Q16" s="458">
        <v>79</v>
      </c>
      <c r="R16" s="386"/>
      <c r="S16" s="481">
        <v>1</v>
      </c>
      <c r="T16" s="467" t="s">
        <v>403</v>
      </c>
      <c r="U16" s="460">
        <v>43</v>
      </c>
      <c r="V16" s="460">
        <v>31</v>
      </c>
      <c r="X16" s="481">
        <v>1</v>
      </c>
      <c r="Y16" s="467" t="s">
        <v>357</v>
      </c>
      <c r="Z16" s="460">
        <v>49</v>
      </c>
      <c r="AA16" s="460">
        <v>39</v>
      </c>
      <c r="AB16" s="491"/>
      <c r="AC16" s="481">
        <v>1</v>
      </c>
      <c r="AD16" s="466" t="s">
        <v>446</v>
      </c>
      <c r="AE16" s="460">
        <v>46</v>
      </c>
      <c r="AF16" s="460">
        <v>36</v>
      </c>
      <c r="AG16" s="492"/>
      <c r="AH16" s="5" t="s">
        <v>447</v>
      </c>
      <c r="AI16" s="5">
        <v>5</v>
      </c>
      <c r="AJ16" s="2"/>
      <c r="AK16" s="2" t="s">
        <v>448</v>
      </c>
      <c r="AL16" s="5">
        <v>4</v>
      </c>
      <c r="AM16" s="143" t="str">
        <f>T6</f>
        <v>Clare Kuepfer</v>
      </c>
      <c r="AN16" s="1">
        <f>33</f>
        <v>33</v>
      </c>
    </row>
    <row r="17" spans="1:41" ht="15" customHeight="1" thickBot="1">
      <c r="A17" s="451">
        <v>2</v>
      </c>
      <c r="B17" s="462" t="s">
        <v>6</v>
      </c>
      <c r="C17" s="463">
        <v>56</v>
      </c>
      <c r="D17" s="463">
        <v>96</v>
      </c>
      <c r="E17" s="386"/>
      <c r="F17" s="386"/>
      <c r="G17" s="451">
        <v>2</v>
      </c>
      <c r="H17" s="462" t="s">
        <v>449</v>
      </c>
      <c r="I17" s="463">
        <v>50</v>
      </c>
      <c r="J17" s="463">
        <v>48</v>
      </c>
      <c r="K17" s="386"/>
      <c r="L17" s="455"/>
      <c r="M17" s="386"/>
      <c r="N17" s="481">
        <v>2</v>
      </c>
      <c r="O17" s="467" t="s">
        <v>397</v>
      </c>
      <c r="P17" s="460">
        <v>48</v>
      </c>
      <c r="Q17" s="460">
        <v>54</v>
      </c>
      <c r="R17" s="454"/>
      <c r="S17" s="481">
        <v>2</v>
      </c>
      <c r="T17" s="466" t="s">
        <v>411</v>
      </c>
      <c r="U17" s="460">
        <v>40</v>
      </c>
      <c r="V17" s="460">
        <v>24</v>
      </c>
      <c r="X17" s="481">
        <v>2</v>
      </c>
      <c r="Y17" s="466" t="s">
        <v>450</v>
      </c>
      <c r="Z17" s="460">
        <v>42</v>
      </c>
      <c r="AA17" s="460">
        <v>40</v>
      </c>
      <c r="AB17" s="491"/>
      <c r="AC17" s="481">
        <v>2</v>
      </c>
      <c r="AD17" s="467" t="s">
        <v>451</v>
      </c>
      <c r="AE17" s="460">
        <v>43</v>
      </c>
      <c r="AF17" s="460">
        <v>28</v>
      </c>
      <c r="AG17" s="491"/>
      <c r="AJ17" s="2"/>
      <c r="AK17" s="2"/>
      <c r="AL17" s="2"/>
      <c r="AM17" s="143" t="str">
        <f t="shared" ref="AM17:AM23" si="1">T7</f>
        <v>Gerald Kuepfer</v>
      </c>
      <c r="AN17" s="1">
        <v>32</v>
      </c>
      <c r="AO17"/>
    </row>
    <row r="18" spans="1:41" ht="15" customHeight="1" thickBot="1">
      <c r="A18" s="451">
        <v>3</v>
      </c>
      <c r="B18" s="462" t="s">
        <v>42</v>
      </c>
      <c r="C18" s="463">
        <v>48</v>
      </c>
      <c r="D18" s="463">
        <v>75</v>
      </c>
      <c r="E18" s="386"/>
      <c r="F18" s="386"/>
      <c r="G18" s="469">
        <v>3</v>
      </c>
      <c r="H18" s="470" t="s">
        <v>123</v>
      </c>
      <c r="I18" s="471">
        <v>41</v>
      </c>
      <c r="J18" s="471">
        <v>38</v>
      </c>
      <c r="K18" s="386"/>
      <c r="L18" s="455"/>
      <c r="M18" s="386"/>
      <c r="N18" s="481">
        <v>3</v>
      </c>
      <c r="O18" s="468" t="s">
        <v>449</v>
      </c>
      <c r="P18" s="460">
        <v>46</v>
      </c>
      <c r="Q18" s="460">
        <v>51</v>
      </c>
      <c r="R18" s="386"/>
      <c r="S18" s="481">
        <v>3</v>
      </c>
      <c r="T18" s="468" t="s">
        <v>123</v>
      </c>
      <c r="U18" s="460">
        <v>39</v>
      </c>
      <c r="V18" s="460">
        <v>37</v>
      </c>
      <c r="X18" s="481">
        <v>3</v>
      </c>
      <c r="Y18" s="468" t="s">
        <v>452</v>
      </c>
      <c r="Z18" s="460">
        <v>38</v>
      </c>
      <c r="AA18" s="460">
        <v>19</v>
      </c>
      <c r="AB18" s="491"/>
      <c r="AC18" s="481">
        <v>3</v>
      </c>
      <c r="AD18" s="468" t="s">
        <v>433</v>
      </c>
      <c r="AE18" s="460">
        <v>38</v>
      </c>
      <c r="AF18" s="460">
        <v>22</v>
      </c>
      <c r="AG18" s="491"/>
      <c r="AH18" s="5" t="s">
        <v>453</v>
      </c>
      <c r="AI18" s="5" t="s">
        <v>474</v>
      </c>
      <c r="AJ18" s="2"/>
      <c r="AK18" s="2"/>
      <c r="AL18" s="2"/>
      <c r="AM18" s="143" t="str">
        <f t="shared" si="1"/>
        <v>Jeff McKeen</v>
      </c>
      <c r="AN18" s="1">
        <v>31</v>
      </c>
      <c r="AO18"/>
    </row>
    <row r="19" spans="1:41" ht="15" customHeight="1" thickBot="1">
      <c r="A19" s="469">
        <v>4</v>
      </c>
      <c r="B19" s="470" t="s">
        <v>280</v>
      </c>
      <c r="C19" s="471">
        <v>42</v>
      </c>
      <c r="D19" s="471">
        <v>53</v>
      </c>
      <c r="E19" s="386"/>
      <c r="F19" s="386"/>
      <c r="G19" s="469">
        <v>4</v>
      </c>
      <c r="H19" s="470" t="s">
        <v>454</v>
      </c>
      <c r="I19" s="471">
        <v>40</v>
      </c>
      <c r="J19" s="471">
        <v>25</v>
      </c>
      <c r="K19" s="454"/>
      <c r="L19" s="455"/>
      <c r="M19" s="386"/>
      <c r="N19" s="481">
        <v>4</v>
      </c>
      <c r="O19" s="468" t="s">
        <v>281</v>
      </c>
      <c r="P19" s="460">
        <v>42</v>
      </c>
      <c r="Q19" s="460">
        <v>48</v>
      </c>
      <c r="R19" s="386"/>
      <c r="S19" s="481">
        <v>4</v>
      </c>
      <c r="T19" s="468" t="s">
        <v>454</v>
      </c>
      <c r="U19" s="460">
        <v>31</v>
      </c>
      <c r="V19" s="460">
        <v>25</v>
      </c>
      <c r="X19" s="481">
        <v>4</v>
      </c>
      <c r="Y19" s="468" t="s">
        <v>53</v>
      </c>
      <c r="Z19" s="460">
        <v>35</v>
      </c>
      <c r="AA19" s="460">
        <v>29</v>
      </c>
      <c r="AB19" s="491"/>
      <c r="AC19" s="481">
        <v>4</v>
      </c>
      <c r="AD19" s="468" t="s">
        <v>455</v>
      </c>
      <c r="AE19" s="460">
        <v>33</v>
      </c>
      <c r="AF19" s="460">
        <v>18</v>
      </c>
      <c r="AG19" s="491"/>
      <c r="AH19" s="5" t="s">
        <v>448</v>
      </c>
      <c r="AI19" s="5" t="s">
        <v>473</v>
      </c>
      <c r="AJ19" s="2"/>
      <c r="AK19" s="2"/>
      <c r="AL19" s="2"/>
      <c r="AM19" s="143" t="str">
        <f t="shared" si="1"/>
        <v>Fred Slater</v>
      </c>
      <c r="AN19" s="1">
        <v>30</v>
      </c>
      <c r="AO19"/>
    </row>
    <row r="20" spans="1:41" ht="15" customHeight="1" thickBot="1">
      <c r="A20" s="469">
        <v>5</v>
      </c>
      <c r="B20" s="470" t="s">
        <v>3</v>
      </c>
      <c r="C20" s="471">
        <v>40</v>
      </c>
      <c r="D20" s="471">
        <v>55</v>
      </c>
      <c r="E20" s="386"/>
      <c r="F20" s="386"/>
      <c r="G20" s="469">
        <v>5</v>
      </c>
      <c r="H20" s="470" t="s">
        <v>456</v>
      </c>
      <c r="I20" s="471">
        <v>37</v>
      </c>
      <c r="J20" s="471">
        <v>25</v>
      </c>
      <c r="K20" s="454"/>
      <c r="L20" s="455"/>
      <c r="M20" s="386"/>
      <c r="N20" s="481">
        <v>5</v>
      </c>
      <c r="O20" s="460" t="s">
        <v>423</v>
      </c>
      <c r="P20" s="460">
        <v>35</v>
      </c>
      <c r="Q20" s="460">
        <v>33</v>
      </c>
      <c r="R20" s="386"/>
      <c r="S20" s="481">
        <v>5</v>
      </c>
      <c r="T20" s="468" t="s">
        <v>475</v>
      </c>
      <c r="U20" s="460">
        <v>30</v>
      </c>
      <c r="V20" s="460">
        <v>29</v>
      </c>
      <c r="X20" s="481">
        <v>5</v>
      </c>
      <c r="Y20" s="468" t="s">
        <v>354</v>
      </c>
      <c r="Z20" s="460">
        <v>35</v>
      </c>
      <c r="AA20" s="460">
        <v>26</v>
      </c>
      <c r="AB20" s="491"/>
      <c r="AC20" s="481">
        <v>5</v>
      </c>
      <c r="AD20" s="468" t="str">
        <f>H25</f>
        <v>Mary Hohman</v>
      </c>
      <c r="AE20" s="460">
        <v>30</v>
      </c>
      <c r="AF20" s="460">
        <v>17</v>
      </c>
      <c r="AG20" s="491"/>
      <c r="AJ20" s="2"/>
      <c r="AM20" s="143" t="str">
        <f t="shared" si="1"/>
        <v>James Medway</v>
      </c>
      <c r="AN20" s="1">
        <v>29</v>
      </c>
      <c r="AO20"/>
    </row>
    <row r="21" spans="1:41" ht="15" customHeight="1" thickBot="1">
      <c r="A21" s="469">
        <v>6</v>
      </c>
      <c r="B21" s="470" t="s">
        <v>50</v>
      </c>
      <c r="C21" s="471">
        <v>32</v>
      </c>
      <c r="D21" s="471">
        <v>61</v>
      </c>
      <c r="E21" s="386"/>
      <c r="F21" s="386"/>
      <c r="G21" s="475">
        <v>6</v>
      </c>
      <c r="H21" s="476" t="s">
        <v>53</v>
      </c>
      <c r="I21" s="477">
        <v>35</v>
      </c>
      <c r="J21" s="477">
        <v>18</v>
      </c>
      <c r="K21" s="454"/>
      <c r="L21" s="455"/>
      <c r="M21" s="386"/>
      <c r="N21" s="481">
        <v>6</v>
      </c>
      <c r="O21" s="460" t="s">
        <v>398</v>
      </c>
      <c r="P21" s="460">
        <v>34</v>
      </c>
      <c r="Q21" s="460">
        <v>38</v>
      </c>
      <c r="R21" s="386"/>
      <c r="S21" s="481">
        <v>6</v>
      </c>
      <c r="T21" s="468" t="s">
        <v>400</v>
      </c>
      <c r="U21" s="460">
        <v>30</v>
      </c>
      <c r="V21" s="460">
        <v>22</v>
      </c>
      <c r="X21" s="481">
        <v>6</v>
      </c>
      <c r="Y21" s="468" t="s">
        <v>457</v>
      </c>
      <c r="Z21" s="460">
        <v>35</v>
      </c>
      <c r="AA21" s="460">
        <v>24</v>
      </c>
      <c r="AB21" s="491"/>
      <c r="AC21" s="481">
        <v>6</v>
      </c>
      <c r="AD21" s="468" t="s">
        <v>300</v>
      </c>
      <c r="AE21" s="460">
        <v>27</v>
      </c>
      <c r="AF21" s="460">
        <v>18</v>
      </c>
      <c r="AG21" s="491"/>
      <c r="AH21" s="2" t="s">
        <v>458</v>
      </c>
      <c r="AI21" s="2">
        <v>10</v>
      </c>
      <c r="AJ21" s="2"/>
      <c r="AM21" s="143" t="str">
        <f t="shared" si="1"/>
        <v>Tom Johnston</v>
      </c>
      <c r="AN21" s="1">
        <v>28</v>
      </c>
      <c r="AO21"/>
    </row>
    <row r="22" spans="1:41" ht="15" customHeight="1" thickBot="1">
      <c r="A22" s="469">
        <v>7</v>
      </c>
      <c r="B22" s="470" t="s">
        <v>40</v>
      </c>
      <c r="C22" s="471">
        <v>32</v>
      </c>
      <c r="D22" s="471">
        <v>51</v>
      </c>
      <c r="E22" s="386"/>
      <c r="F22" s="386"/>
      <c r="G22" s="475">
        <v>7</v>
      </c>
      <c r="H22" s="476" t="s">
        <v>459</v>
      </c>
      <c r="I22" s="477">
        <v>31</v>
      </c>
      <c r="J22" s="477">
        <v>34</v>
      </c>
      <c r="K22" s="386"/>
      <c r="L22" s="455"/>
      <c r="M22" s="386"/>
      <c r="N22" s="481">
        <v>7</v>
      </c>
      <c r="O22" s="460" t="s">
        <v>124</v>
      </c>
      <c r="P22" s="460">
        <v>32</v>
      </c>
      <c r="Q22" s="460">
        <v>38</v>
      </c>
      <c r="R22" s="386"/>
      <c r="S22" s="481">
        <v>7</v>
      </c>
      <c r="T22" s="468" t="s">
        <v>460</v>
      </c>
      <c r="U22" s="460">
        <v>28</v>
      </c>
      <c r="V22" s="460">
        <v>25</v>
      </c>
      <c r="X22" s="481">
        <v>7</v>
      </c>
      <c r="Y22" s="468" t="s">
        <v>406</v>
      </c>
      <c r="Z22" s="460">
        <v>33</v>
      </c>
      <c r="AA22" s="460">
        <v>44</v>
      </c>
      <c r="AB22" s="491"/>
      <c r="AC22" s="481">
        <v>7</v>
      </c>
      <c r="AD22" s="468" t="s">
        <v>435</v>
      </c>
      <c r="AE22" s="460">
        <v>25</v>
      </c>
      <c r="AF22" s="460">
        <v>18</v>
      </c>
      <c r="AG22" s="491"/>
      <c r="AH22" s="2" t="s">
        <v>461</v>
      </c>
      <c r="AI22" s="2">
        <v>6</v>
      </c>
      <c r="AJ22" s="2"/>
      <c r="AK22" s="2"/>
      <c r="AL22" s="2"/>
      <c r="AM22" s="143" t="str">
        <f t="shared" si="1"/>
        <v>Travis Keener</v>
      </c>
      <c r="AN22" s="1">
        <v>27</v>
      </c>
      <c r="AO22"/>
    </row>
    <row r="23" spans="1:41" ht="15" customHeight="1" thickBot="1">
      <c r="A23" s="481">
        <v>8</v>
      </c>
      <c r="B23" s="468" t="s">
        <v>208</v>
      </c>
      <c r="C23" s="460">
        <v>18</v>
      </c>
      <c r="D23" s="460">
        <v>29</v>
      </c>
      <c r="E23" s="386"/>
      <c r="F23" s="386"/>
      <c r="G23" s="481">
        <v>8</v>
      </c>
      <c r="H23" s="468" t="s">
        <v>300</v>
      </c>
      <c r="I23" s="460">
        <v>26</v>
      </c>
      <c r="J23" s="460">
        <v>16</v>
      </c>
      <c r="K23" s="386"/>
      <c r="L23" s="455"/>
      <c r="M23" s="386"/>
      <c r="N23" s="481">
        <v>8</v>
      </c>
      <c r="O23" s="460" t="s">
        <v>462</v>
      </c>
      <c r="P23" s="460">
        <v>28</v>
      </c>
      <c r="Q23" s="460">
        <v>38</v>
      </c>
      <c r="R23" s="386"/>
      <c r="S23" s="481">
        <v>8</v>
      </c>
      <c r="T23" s="468" t="s">
        <v>456</v>
      </c>
      <c r="U23" s="460">
        <v>27</v>
      </c>
      <c r="V23" s="460">
        <v>16</v>
      </c>
      <c r="X23" s="481">
        <v>8</v>
      </c>
      <c r="Y23" s="468" t="s">
        <v>459</v>
      </c>
      <c r="Z23" s="460">
        <v>31</v>
      </c>
      <c r="AA23" s="460">
        <v>29</v>
      </c>
      <c r="AB23" s="491"/>
      <c r="AC23" s="481">
        <v>8</v>
      </c>
      <c r="AD23" s="468" t="s">
        <v>410</v>
      </c>
      <c r="AE23" s="460">
        <v>23</v>
      </c>
      <c r="AF23" s="460">
        <v>12</v>
      </c>
      <c r="AG23" s="491"/>
      <c r="AJ23" s="2"/>
      <c r="AK23" s="2"/>
      <c r="AL23" s="2"/>
      <c r="AM23" s="143" t="str">
        <f t="shared" si="1"/>
        <v>Kevin Bechtel</v>
      </c>
      <c r="AN23" s="1">
        <v>26</v>
      </c>
      <c r="AO23"/>
    </row>
    <row r="24" spans="1:41" ht="15" customHeight="1" thickBot="1">
      <c r="A24" s="481">
        <v>9</v>
      </c>
      <c r="B24" s="468" t="s">
        <v>436</v>
      </c>
      <c r="C24" s="460">
        <v>18</v>
      </c>
      <c r="D24" s="460">
        <v>35</v>
      </c>
      <c r="E24" s="386"/>
      <c r="F24" s="386"/>
      <c r="G24" s="481">
        <v>9</v>
      </c>
      <c r="H24" s="468" t="s">
        <v>463</v>
      </c>
      <c r="I24" s="460">
        <v>18</v>
      </c>
      <c r="J24" s="460">
        <v>21</v>
      </c>
      <c r="K24" s="454"/>
      <c r="L24" s="455"/>
      <c r="M24" s="386"/>
      <c r="N24" s="481">
        <v>9</v>
      </c>
      <c r="O24" s="460" t="s">
        <v>395</v>
      </c>
      <c r="P24" s="460">
        <v>26</v>
      </c>
      <c r="Q24" s="460">
        <v>28</v>
      </c>
      <c r="R24" s="386"/>
      <c r="S24" s="481">
        <v>9</v>
      </c>
      <c r="T24" s="468" t="s">
        <v>428</v>
      </c>
      <c r="U24" s="460">
        <v>20</v>
      </c>
      <c r="V24" s="460">
        <v>23</v>
      </c>
      <c r="X24" s="481">
        <v>9</v>
      </c>
      <c r="Y24" s="468" t="s">
        <v>405</v>
      </c>
      <c r="Z24" s="460">
        <v>31</v>
      </c>
      <c r="AA24" s="460">
        <v>20</v>
      </c>
      <c r="AB24" s="491"/>
      <c r="AC24" s="481">
        <v>9</v>
      </c>
      <c r="AD24" s="468" t="s">
        <v>463</v>
      </c>
      <c r="AE24" s="460">
        <v>19</v>
      </c>
      <c r="AF24" s="460">
        <v>9</v>
      </c>
      <c r="AG24" s="491"/>
      <c r="AH24" s="2" t="s">
        <v>464</v>
      </c>
      <c r="AI24" s="2">
        <v>9</v>
      </c>
      <c r="AJ24" s="2"/>
      <c r="AK24" s="2"/>
      <c r="AL24" s="2"/>
      <c r="AM24" s="143" t="str">
        <f>Y4</f>
        <v>Tyson Kuepfer</v>
      </c>
      <c r="AN24" s="1">
        <f>25+2</f>
        <v>27</v>
      </c>
      <c r="AO24" s="186" t="s">
        <v>227</v>
      </c>
    </row>
    <row r="25" spans="1:41" ht="15" customHeight="1" thickBot="1">
      <c r="A25" s="481">
        <v>10</v>
      </c>
      <c r="B25" s="460" t="s">
        <v>438</v>
      </c>
      <c r="C25" s="460">
        <v>14</v>
      </c>
      <c r="D25" s="460">
        <v>38</v>
      </c>
      <c r="E25" s="386"/>
      <c r="F25" s="386"/>
      <c r="G25" s="481">
        <v>10</v>
      </c>
      <c r="H25" s="468" t="s">
        <v>303</v>
      </c>
      <c r="I25" s="460">
        <v>18</v>
      </c>
      <c r="J25" s="460">
        <v>15</v>
      </c>
      <c r="K25" s="386"/>
      <c r="L25" s="455"/>
      <c r="M25" s="386"/>
      <c r="N25" s="481">
        <v>10</v>
      </c>
      <c r="O25" s="460" t="s">
        <v>299</v>
      </c>
      <c r="P25" s="460">
        <v>20</v>
      </c>
      <c r="Q25" s="460">
        <v>21</v>
      </c>
      <c r="R25" s="386"/>
      <c r="S25" s="481">
        <v>10</v>
      </c>
      <c r="T25" s="468" t="s">
        <v>465</v>
      </c>
      <c r="U25" s="460"/>
      <c r="V25" s="460"/>
      <c r="X25" s="481">
        <v>10</v>
      </c>
      <c r="Y25" s="468" t="s">
        <v>466</v>
      </c>
      <c r="Z25" s="460">
        <v>28</v>
      </c>
      <c r="AA25" s="460">
        <v>30</v>
      </c>
      <c r="AB25" s="491"/>
      <c r="AC25" s="481"/>
      <c r="AD25" s="460"/>
      <c r="AE25" s="460"/>
      <c r="AF25" s="460"/>
      <c r="AG25" s="492"/>
      <c r="AH25" s="2" t="s">
        <v>467</v>
      </c>
      <c r="AI25" s="2">
        <v>7</v>
      </c>
      <c r="AJ25" s="2"/>
      <c r="AK25" s="2"/>
      <c r="AL25" s="2"/>
      <c r="AM25" s="143" t="str">
        <f t="shared" ref="AM25:AM29" si="2">Y5</f>
        <v>Mike Beaton</v>
      </c>
      <c r="AN25" s="1">
        <f>24+1</f>
        <v>25</v>
      </c>
      <c r="AO25" s="186" t="s">
        <v>228</v>
      </c>
    </row>
    <row r="26" spans="1:41" ht="15" customHeight="1" thickBot="1">
      <c r="A26" s="488"/>
      <c r="B26" s="489"/>
      <c r="C26" s="489"/>
      <c r="D26" s="489"/>
      <c r="E26" s="386"/>
      <c r="F26" s="386"/>
      <c r="G26" s="488"/>
      <c r="H26" s="489"/>
      <c r="I26" s="489"/>
      <c r="J26" s="489"/>
      <c r="K26" s="386"/>
      <c r="L26" s="455"/>
      <c r="M26" s="386"/>
      <c r="N26" s="2"/>
      <c r="O26" s="2"/>
      <c r="P26" s="2"/>
      <c r="Q26" s="2"/>
      <c r="R26" s="386"/>
      <c r="S26" s="488"/>
      <c r="T26" s="489"/>
      <c r="U26" s="489"/>
      <c r="V26" s="489"/>
      <c r="W26" s="2"/>
      <c r="X26" s="488"/>
      <c r="Y26" s="489"/>
      <c r="Z26" s="489"/>
      <c r="AA26" s="489"/>
      <c r="AB26" s="491"/>
      <c r="AC26" s="488"/>
      <c r="AD26" s="489"/>
      <c r="AE26" s="489"/>
      <c r="AF26" s="489"/>
      <c r="AG26" s="492"/>
      <c r="AJ26" s="2"/>
      <c r="AK26" s="2"/>
      <c r="AL26" s="2"/>
      <c r="AM26" s="143" t="str">
        <f t="shared" si="2"/>
        <v>Gloria Walsh</v>
      </c>
      <c r="AN26" s="1">
        <v>23</v>
      </c>
    </row>
    <row r="27" spans="1:41" ht="15" customHeight="1" thickTop="1" thickBot="1">
      <c r="B27" s="450" t="s">
        <v>468</v>
      </c>
      <c r="C27" s="450" t="s">
        <v>28</v>
      </c>
      <c r="D27" s="450" t="s">
        <v>1</v>
      </c>
      <c r="E27" s="386"/>
      <c r="F27" s="386"/>
      <c r="H27" s="448" t="s">
        <v>469</v>
      </c>
      <c r="I27" s="448" t="s">
        <v>28</v>
      </c>
      <c r="J27" s="448" t="s">
        <v>1</v>
      </c>
      <c r="K27" s="386"/>
      <c r="L27" s="494"/>
      <c r="M27" s="386"/>
      <c r="N27" s="2"/>
      <c r="O27" s="386"/>
      <c r="P27" s="386"/>
      <c r="Q27" s="386"/>
      <c r="R27" s="386"/>
      <c r="Y27" s="2"/>
      <c r="Z27" s="386"/>
      <c r="AA27" s="2"/>
      <c r="AB27" s="2"/>
      <c r="AG27" s="2"/>
      <c r="AH27" s="2" t="s">
        <v>470</v>
      </c>
      <c r="AI27" s="2">
        <v>10</v>
      </c>
      <c r="AJ27" s="2"/>
      <c r="AK27" s="2"/>
      <c r="AL27" s="2"/>
      <c r="AM27" s="143" t="str">
        <f t="shared" si="2"/>
        <v>Matthew Knapp</v>
      </c>
      <c r="AN27" s="1">
        <v>22</v>
      </c>
    </row>
    <row r="28" spans="1:41" ht="15" customHeight="1" thickTop="1" thickBot="1">
      <c r="A28" s="451">
        <v>1</v>
      </c>
      <c r="B28" s="462" t="s">
        <v>39</v>
      </c>
      <c r="C28" s="453">
        <v>45</v>
      </c>
      <c r="D28" s="453">
        <v>69</v>
      </c>
      <c r="E28" s="386"/>
      <c r="F28" s="386"/>
      <c r="G28" s="451">
        <v>1</v>
      </c>
      <c r="H28" s="452" t="s">
        <v>397</v>
      </c>
      <c r="I28" s="453">
        <v>50</v>
      </c>
      <c r="J28" s="453">
        <v>47</v>
      </c>
      <c r="K28" s="495">
        <f>I28/8*9</f>
        <v>56.25</v>
      </c>
      <c r="L28" s="496">
        <f>J28/8*9</f>
        <v>52.875</v>
      </c>
      <c r="M28" s="386"/>
      <c r="R28" s="386"/>
      <c r="Y28" s="2"/>
      <c r="Z28" s="386"/>
      <c r="AA28" s="386"/>
      <c r="AB28" s="2"/>
      <c r="AG28" s="2"/>
      <c r="AH28" s="2" t="s">
        <v>471</v>
      </c>
      <c r="AI28" s="2">
        <v>6</v>
      </c>
      <c r="AJ28" s="2"/>
      <c r="AK28" s="2"/>
      <c r="AL28" s="2"/>
      <c r="AM28" s="143" t="str">
        <f t="shared" si="2"/>
        <v>Cathy Kuepfer</v>
      </c>
      <c r="AN28" s="1">
        <v>21</v>
      </c>
    </row>
    <row r="29" spans="1:41" ht="15" customHeight="1" thickBot="1">
      <c r="A29" s="451">
        <v>2</v>
      </c>
      <c r="B29" s="497" t="s">
        <v>2</v>
      </c>
      <c r="C29" s="463">
        <v>44</v>
      </c>
      <c r="D29" s="463">
        <v>76</v>
      </c>
      <c r="E29" s="386"/>
      <c r="F29" s="386"/>
      <c r="G29" s="451">
        <v>2</v>
      </c>
      <c r="H29" s="462" t="s">
        <v>124</v>
      </c>
      <c r="I29" s="463">
        <v>43</v>
      </c>
      <c r="J29" s="463">
        <v>47</v>
      </c>
      <c r="K29" s="495">
        <f t="shared" ref="K29:L36" si="3">I29/8*9</f>
        <v>48.375</v>
      </c>
      <c r="L29" s="496">
        <f t="shared" si="3"/>
        <v>52.875</v>
      </c>
      <c r="M29" s="386"/>
      <c r="R29" s="386"/>
      <c r="Y29" s="2"/>
      <c r="Z29" s="386"/>
      <c r="AA29" s="2"/>
      <c r="AB29" s="2"/>
      <c r="AG29" s="2"/>
      <c r="AH29" s="2"/>
      <c r="AI29" s="2"/>
      <c r="AJ29" s="2"/>
      <c r="AK29" s="2"/>
      <c r="AL29" s="2"/>
      <c r="AM29" s="143" t="str">
        <f t="shared" si="2"/>
        <v>Dan Hepburn</v>
      </c>
      <c r="AN29" s="1">
        <v>20</v>
      </c>
    </row>
    <row r="30" spans="1:41" ht="15" customHeight="1" thickBot="1">
      <c r="A30" s="451">
        <v>3</v>
      </c>
      <c r="B30" s="497" t="s">
        <v>4</v>
      </c>
      <c r="C30" s="463">
        <v>44</v>
      </c>
      <c r="D30" s="463">
        <v>77</v>
      </c>
      <c r="E30" s="386"/>
      <c r="F30" s="386"/>
      <c r="G30" s="451">
        <v>3</v>
      </c>
      <c r="H30" s="462" t="s">
        <v>299</v>
      </c>
      <c r="I30" s="463">
        <v>42</v>
      </c>
      <c r="J30" s="463">
        <v>21</v>
      </c>
      <c r="K30" s="495">
        <f t="shared" si="3"/>
        <v>47.25</v>
      </c>
      <c r="L30" s="496">
        <f t="shared" si="3"/>
        <v>23.625</v>
      </c>
      <c r="M30" s="386"/>
      <c r="R30" s="386"/>
      <c r="X30" s="386"/>
      <c r="Y30" s="2"/>
      <c r="Z30" s="444"/>
      <c r="AA30" s="386"/>
      <c r="AB30" s="2"/>
      <c r="AG30" s="2"/>
      <c r="AJ30" s="2"/>
      <c r="AK30" s="2"/>
      <c r="AL30" s="2"/>
      <c r="AM30" s="143" t="str">
        <f t="shared" ref="AM30:AM33" si="4">Y10</f>
        <v>Mark Malecki</v>
      </c>
      <c r="AN30" s="1">
        <v>20</v>
      </c>
    </row>
    <row r="31" spans="1:41" ht="15" customHeight="1" thickBot="1">
      <c r="A31" s="469">
        <v>4</v>
      </c>
      <c r="B31" s="498" t="s">
        <v>103</v>
      </c>
      <c r="C31" s="471">
        <v>43</v>
      </c>
      <c r="D31" s="471">
        <v>78</v>
      </c>
      <c r="E31" s="386"/>
      <c r="F31" s="386"/>
      <c r="G31" s="469">
        <v>4</v>
      </c>
      <c r="H31" s="470" t="s">
        <v>465</v>
      </c>
      <c r="I31" s="471">
        <v>34</v>
      </c>
      <c r="J31" s="471">
        <v>31</v>
      </c>
      <c r="K31" s="499">
        <f t="shared" si="3"/>
        <v>38.25</v>
      </c>
      <c r="L31" s="500">
        <f t="shared" si="3"/>
        <v>34.875</v>
      </c>
      <c r="M31" s="386"/>
      <c r="R31" s="454"/>
      <c r="Y31" s="2"/>
      <c r="Z31" s="386"/>
      <c r="AA31" s="2"/>
      <c r="AB31" s="2"/>
      <c r="AG31" s="2"/>
      <c r="AJ31" s="2"/>
      <c r="AK31" s="2"/>
      <c r="AL31" s="2"/>
      <c r="AM31" s="143" t="str">
        <f t="shared" si="4"/>
        <v>Steffan Hiller-Ranney</v>
      </c>
      <c r="AN31" s="1">
        <v>20</v>
      </c>
    </row>
    <row r="32" spans="1:41" ht="15" customHeight="1" thickBot="1">
      <c r="A32" s="469">
        <v>5</v>
      </c>
      <c r="B32" s="501" t="s">
        <v>23</v>
      </c>
      <c r="C32" s="471">
        <v>40</v>
      </c>
      <c r="D32" s="471">
        <v>39</v>
      </c>
      <c r="E32" s="386"/>
      <c r="F32" s="386"/>
      <c r="G32" s="469">
        <v>5</v>
      </c>
      <c r="H32" s="470" t="s">
        <v>460</v>
      </c>
      <c r="I32" s="471">
        <v>31</v>
      </c>
      <c r="J32" s="471">
        <v>23</v>
      </c>
      <c r="K32" s="499">
        <f t="shared" si="3"/>
        <v>34.875</v>
      </c>
      <c r="L32" s="500">
        <f t="shared" si="3"/>
        <v>25.875</v>
      </c>
      <c r="M32" s="386"/>
      <c r="R32" s="454"/>
      <c r="Y32" s="2"/>
      <c r="Z32" s="386"/>
      <c r="AA32" s="386"/>
      <c r="AB32" s="2"/>
      <c r="AG32" s="2"/>
      <c r="AH32" s="131" t="s">
        <v>13</v>
      </c>
      <c r="AI32" s="131" t="s">
        <v>15</v>
      </c>
      <c r="AJ32"/>
      <c r="AK32" s="2"/>
      <c r="AL32" s="2"/>
      <c r="AM32" s="143" t="str">
        <f t="shared" si="4"/>
        <v>Geoff Axford</v>
      </c>
      <c r="AN32" s="1">
        <v>20</v>
      </c>
    </row>
    <row r="33" spans="1:40" ht="15" customHeight="1" thickBot="1">
      <c r="A33" s="469">
        <v>6</v>
      </c>
      <c r="B33" s="501" t="s">
        <v>326</v>
      </c>
      <c r="C33" s="471">
        <v>36</v>
      </c>
      <c r="D33" s="471">
        <v>66</v>
      </c>
      <c r="E33" s="454"/>
      <c r="F33" s="454"/>
      <c r="G33" s="475">
        <v>6</v>
      </c>
      <c r="H33" s="476" t="s">
        <v>466</v>
      </c>
      <c r="I33" s="477">
        <v>24</v>
      </c>
      <c r="J33" s="477">
        <v>21</v>
      </c>
      <c r="K33" s="502">
        <f t="shared" si="3"/>
        <v>27</v>
      </c>
      <c r="L33" s="503">
        <f t="shared" si="3"/>
        <v>23.625</v>
      </c>
      <c r="M33" s="2"/>
      <c r="R33" s="504"/>
      <c r="Y33" s="2"/>
      <c r="Z33" s="386"/>
      <c r="AA33" s="2"/>
      <c r="AB33" s="2"/>
      <c r="AG33" s="2"/>
      <c r="AH33" s="143" t="str">
        <f>O17</f>
        <v>Jacob Warren</v>
      </c>
      <c r="AI33" s="1">
        <v>50</v>
      </c>
      <c r="AJ33"/>
      <c r="AK33" s="2"/>
      <c r="AL33" s="2"/>
      <c r="AM33" s="143" t="str">
        <f t="shared" si="4"/>
        <v>Garrett Stratford</v>
      </c>
      <c r="AN33" s="1">
        <v>20</v>
      </c>
    </row>
    <row r="34" spans="1:40" ht="15" customHeight="1" thickBot="1">
      <c r="A34" s="469">
        <v>7</v>
      </c>
      <c r="B34" s="505" t="s">
        <v>8</v>
      </c>
      <c r="C34" s="471">
        <v>31</v>
      </c>
      <c r="D34" s="471">
        <v>75</v>
      </c>
      <c r="E34" s="454"/>
      <c r="F34" s="454"/>
      <c r="G34" s="475">
        <v>7</v>
      </c>
      <c r="H34" s="476" t="s">
        <v>457</v>
      </c>
      <c r="I34" s="477">
        <v>24</v>
      </c>
      <c r="J34" s="477">
        <v>14</v>
      </c>
      <c r="K34" s="502">
        <f t="shared" si="3"/>
        <v>27</v>
      </c>
      <c r="L34" s="503">
        <f t="shared" si="3"/>
        <v>15.75</v>
      </c>
      <c r="M34" s="2"/>
      <c r="R34" s="454"/>
      <c r="Y34" s="2"/>
      <c r="Z34" s="177"/>
      <c r="AA34" s="386"/>
      <c r="AB34" s="2"/>
      <c r="AG34" s="2"/>
      <c r="AH34" s="143" t="str">
        <f>O16</f>
        <v>Grant Flick</v>
      </c>
      <c r="AI34" s="1">
        <v>47</v>
      </c>
      <c r="AJ34"/>
      <c r="AK34" s="2"/>
      <c r="AL34" s="2"/>
    </row>
    <row r="35" spans="1:40" ht="15" customHeight="1" thickBot="1">
      <c r="A35" s="481">
        <v>8</v>
      </c>
      <c r="B35" s="478" t="s">
        <v>121</v>
      </c>
      <c r="C35" s="460">
        <v>30</v>
      </c>
      <c r="D35" s="460">
        <v>42</v>
      </c>
      <c r="E35" s="454"/>
      <c r="F35" s="454"/>
      <c r="G35" s="475">
        <v>8</v>
      </c>
      <c r="H35" s="476" t="s">
        <v>354</v>
      </c>
      <c r="I35" s="477">
        <v>23</v>
      </c>
      <c r="J35" s="477">
        <v>24</v>
      </c>
      <c r="K35" s="502">
        <f t="shared" si="3"/>
        <v>25.875</v>
      </c>
      <c r="L35" s="503">
        <f t="shared" si="3"/>
        <v>27</v>
      </c>
      <c r="M35" s="2"/>
      <c r="Y35" s="2"/>
      <c r="Z35" s="2"/>
      <c r="AA35" s="2"/>
      <c r="AB35" s="2"/>
      <c r="AG35" s="2"/>
      <c r="AH35" s="143" t="str">
        <f>O18</f>
        <v>Joe Richards</v>
      </c>
      <c r="AI35" s="1">
        <v>45</v>
      </c>
      <c r="AJ35"/>
      <c r="AK35" s="2"/>
      <c r="AL35" s="2"/>
    </row>
    <row r="36" spans="1:40" ht="15" customHeight="1" thickBot="1">
      <c r="A36" s="481">
        <v>9</v>
      </c>
      <c r="B36" s="468" t="str">
        <f>Y11</f>
        <v>Steffan Hiller-Ranney</v>
      </c>
      <c r="C36" s="460">
        <v>24</v>
      </c>
      <c r="D36" s="460">
        <v>69</v>
      </c>
      <c r="E36" s="454"/>
      <c r="F36" s="454"/>
      <c r="G36" s="481">
        <v>9</v>
      </c>
      <c r="H36" s="468" t="s">
        <v>455</v>
      </c>
      <c r="I36" s="460">
        <v>14</v>
      </c>
      <c r="J36" s="460">
        <v>22</v>
      </c>
      <c r="K36" s="386">
        <f t="shared" si="3"/>
        <v>15.75</v>
      </c>
      <c r="L36" s="494">
        <f t="shared" si="3"/>
        <v>24.75</v>
      </c>
      <c r="M36" s="2"/>
      <c r="R36" s="454"/>
      <c r="Y36" s="2"/>
      <c r="Z36" s="2"/>
      <c r="AA36" s="2"/>
      <c r="AB36" s="2"/>
      <c r="AG36" s="2"/>
      <c r="AH36" s="143" t="str">
        <f t="shared" ref="AH36:AH42" si="5">O19</f>
        <v>Ron Reesor</v>
      </c>
      <c r="AI36" s="1">
        <v>43</v>
      </c>
      <c r="AJ36"/>
      <c r="AK36" s="2"/>
      <c r="AL36" s="2"/>
    </row>
    <row r="37" spans="1:40" ht="15" customHeight="1" thickBot="1">
      <c r="A37" s="481">
        <v>10</v>
      </c>
      <c r="B37" s="478" t="s">
        <v>279</v>
      </c>
      <c r="C37" s="460">
        <v>23</v>
      </c>
      <c r="D37" s="460">
        <v>61</v>
      </c>
      <c r="E37" s="454"/>
      <c r="F37" s="454"/>
      <c r="G37" s="488"/>
      <c r="H37" s="489"/>
      <c r="I37" s="489"/>
      <c r="J37" s="489"/>
      <c r="Y37" s="2"/>
      <c r="Z37" s="2"/>
      <c r="AA37" s="2"/>
      <c r="AB37" s="2"/>
      <c r="AG37" s="2"/>
      <c r="AH37" s="143" t="str">
        <f t="shared" si="5"/>
        <v>Robin Baillie</v>
      </c>
      <c r="AI37" s="1">
        <v>41</v>
      </c>
      <c r="AJ37"/>
      <c r="AK37" s="2"/>
      <c r="AL37" s="2"/>
    </row>
    <row r="38" spans="1:40" ht="15" customHeight="1" thickTop="1" thickBot="1">
      <c r="E38" s="454"/>
      <c r="F38" s="454"/>
      <c r="H38" s="448" t="s">
        <v>472</v>
      </c>
      <c r="I38" s="448" t="s">
        <v>28</v>
      </c>
      <c r="J38" s="448" t="s">
        <v>1</v>
      </c>
      <c r="Y38" s="2"/>
      <c r="Z38" s="2"/>
      <c r="AA38" s="2"/>
      <c r="AB38" s="2"/>
      <c r="AG38" s="2"/>
      <c r="AH38" s="143" t="str">
        <f t="shared" si="5"/>
        <v>David Skipper</v>
      </c>
      <c r="AI38" s="1">
        <v>40</v>
      </c>
      <c r="AJ38"/>
      <c r="AK38" s="2"/>
      <c r="AL38" s="2"/>
    </row>
    <row r="39" spans="1:40" ht="17" thickTop="1" thickBot="1">
      <c r="A39" s="2"/>
      <c r="B39" s="507"/>
      <c r="C39" s="507"/>
      <c r="D39" s="2"/>
      <c r="E39" s="454"/>
      <c r="F39" s="454"/>
      <c r="G39" s="451">
        <v>1</v>
      </c>
      <c r="H39" s="452" t="s">
        <v>462</v>
      </c>
      <c r="I39" s="453">
        <v>44</v>
      </c>
      <c r="J39" s="453">
        <v>38</v>
      </c>
      <c r="Y39" s="2"/>
      <c r="Z39" s="2"/>
      <c r="AA39" s="2"/>
      <c r="AB39" s="2"/>
      <c r="AG39" s="2"/>
      <c r="AH39" s="143" t="str">
        <f t="shared" si="5"/>
        <v>Vuth Vann</v>
      </c>
      <c r="AI39" s="1">
        <v>39</v>
      </c>
      <c r="AJ39"/>
      <c r="AK39" s="2"/>
      <c r="AL39" s="2"/>
    </row>
    <row r="40" spans="1:40" ht="16" thickBot="1">
      <c r="A40" s="386"/>
      <c r="B40" s="177"/>
      <c r="C40" s="386"/>
      <c r="D40" s="386"/>
      <c r="E40" s="386"/>
      <c r="F40" s="386"/>
      <c r="G40" s="451">
        <v>2</v>
      </c>
      <c r="H40" s="462" t="s">
        <v>395</v>
      </c>
      <c r="I40" s="463">
        <v>42</v>
      </c>
      <c r="J40" s="463">
        <v>26</v>
      </c>
      <c r="Y40" s="2"/>
      <c r="Z40" s="2"/>
      <c r="AA40" s="2"/>
      <c r="AB40" s="2"/>
      <c r="AG40" s="2"/>
      <c r="AH40" s="143" t="str">
        <f t="shared" si="5"/>
        <v>John Walker</v>
      </c>
      <c r="AI40" s="1">
        <v>38</v>
      </c>
      <c r="AJ40"/>
      <c r="AK40" s="2"/>
      <c r="AL40" s="2"/>
    </row>
    <row r="41" spans="1:40" ht="16" thickBot="1">
      <c r="A41" s="2"/>
      <c r="B41" s="177"/>
      <c r="C41" s="508"/>
      <c r="D41" s="386"/>
      <c r="E41" s="386"/>
      <c r="F41" s="386"/>
      <c r="G41" s="469">
        <v>3</v>
      </c>
      <c r="H41" s="470" t="s">
        <v>400</v>
      </c>
      <c r="I41" s="471">
        <v>42</v>
      </c>
      <c r="J41" s="471">
        <v>24</v>
      </c>
      <c r="Y41" s="2"/>
      <c r="Z41" s="2"/>
      <c r="AA41" s="2"/>
      <c r="AB41" s="2"/>
      <c r="AG41" s="2"/>
      <c r="AH41" s="143" t="str">
        <f t="shared" si="5"/>
        <v>William Brown</v>
      </c>
      <c r="AI41" s="1">
        <v>37</v>
      </c>
      <c r="AJ41"/>
      <c r="AK41" s="2"/>
      <c r="AL41" s="2"/>
    </row>
    <row r="42" spans="1:40" ht="16" thickBot="1">
      <c r="A42" s="2"/>
      <c r="B42" s="444"/>
      <c r="C42" s="507"/>
      <c r="D42" s="2"/>
      <c r="E42" s="2"/>
      <c r="F42" s="2"/>
      <c r="G42" s="469">
        <v>4</v>
      </c>
      <c r="H42" s="470" t="s">
        <v>411</v>
      </c>
      <c r="I42" s="471">
        <v>41</v>
      </c>
      <c r="J42" s="471">
        <v>29</v>
      </c>
      <c r="Y42" s="2"/>
      <c r="Z42" s="2"/>
      <c r="AA42" s="2"/>
      <c r="AB42" s="2"/>
      <c r="AG42" s="2"/>
      <c r="AH42" s="143" t="str">
        <f t="shared" si="5"/>
        <v>Janet Diebel</v>
      </c>
      <c r="AI42" s="1">
        <v>36</v>
      </c>
      <c r="AJ42"/>
      <c r="AK42" s="2"/>
      <c r="AL42" s="2"/>
    </row>
    <row r="43" spans="1:40" ht="16" thickBot="1">
      <c r="B43" s="444"/>
      <c r="G43" s="469">
        <v>5</v>
      </c>
      <c r="H43" s="470" t="s">
        <v>403</v>
      </c>
      <c r="I43" s="471">
        <v>38</v>
      </c>
      <c r="J43" s="471">
        <v>18</v>
      </c>
      <c r="Y43" s="2"/>
      <c r="Z43" s="2"/>
      <c r="AA43" s="2"/>
      <c r="AB43" s="2"/>
      <c r="AG43" s="2"/>
      <c r="AH43" s="143" t="str">
        <f>T16</f>
        <v>Alan Duck</v>
      </c>
      <c r="AI43" s="1">
        <f>35+2</f>
        <v>37</v>
      </c>
      <c r="AJ43" s="186" t="s">
        <v>227</v>
      </c>
      <c r="AK43" s="2"/>
      <c r="AL43" s="2"/>
    </row>
    <row r="44" spans="1:40" ht="16" thickBot="1">
      <c r="A44" s="386"/>
      <c r="B44" s="444"/>
      <c r="C44" s="386"/>
      <c r="D44" s="386"/>
      <c r="G44" s="475">
        <v>6</v>
      </c>
      <c r="H44" s="476" t="s">
        <v>406</v>
      </c>
      <c r="I44" s="477">
        <v>36</v>
      </c>
      <c r="J44" s="477">
        <v>34</v>
      </c>
      <c r="Y44" s="2"/>
      <c r="Z44" s="2"/>
      <c r="AA44" s="2"/>
      <c r="AB44" s="2"/>
      <c r="AG44" s="2"/>
      <c r="AH44" s="143" t="str">
        <f t="shared" ref="AH44:AH52" si="6">T17</f>
        <v>Ruth Deschamps</v>
      </c>
      <c r="AI44" s="1">
        <f>34+1</f>
        <v>35</v>
      </c>
      <c r="AJ44" s="186" t="s">
        <v>228</v>
      </c>
      <c r="AK44" s="2"/>
      <c r="AL44" s="2"/>
    </row>
    <row r="45" spans="1:40" ht="16" thickBot="1">
      <c r="A45" s="386"/>
      <c r="B45" s="444"/>
      <c r="C45" s="386"/>
      <c r="D45" s="386"/>
      <c r="G45" s="475">
        <v>7</v>
      </c>
      <c r="H45" s="476" t="s">
        <v>452</v>
      </c>
      <c r="I45" s="477">
        <v>30</v>
      </c>
      <c r="J45" s="477">
        <v>18</v>
      </c>
      <c r="Y45" s="2"/>
      <c r="Z45" s="2"/>
      <c r="AA45" s="2"/>
      <c r="AB45" s="2"/>
      <c r="AG45" s="2"/>
      <c r="AH45" s="143" t="str">
        <f t="shared" si="6"/>
        <v>Voeun Vann</v>
      </c>
      <c r="AI45" s="1">
        <f>33</f>
        <v>33</v>
      </c>
      <c r="AK45" s="2"/>
      <c r="AL45" s="2"/>
    </row>
    <row r="46" spans="1:40" ht="16" thickBot="1">
      <c r="B46" s="444"/>
      <c r="G46" s="475">
        <v>8</v>
      </c>
      <c r="H46" s="476" t="s">
        <v>450</v>
      </c>
      <c r="I46" s="477">
        <v>28</v>
      </c>
      <c r="J46" s="477">
        <v>22</v>
      </c>
      <c r="M46" s="2"/>
      <c r="N46" s="2"/>
      <c r="O46" s="2"/>
      <c r="P46" s="2"/>
      <c r="Q46" s="2"/>
      <c r="R46" s="2"/>
      <c r="Y46" s="2"/>
      <c r="Z46" s="2"/>
      <c r="AA46" s="2"/>
      <c r="AB46" s="2"/>
      <c r="AG46" s="2"/>
      <c r="AH46" s="143" t="str">
        <f t="shared" si="6"/>
        <v>Tyler Boyes</v>
      </c>
      <c r="AI46" s="1">
        <v>32</v>
      </c>
      <c r="AJ46"/>
      <c r="AK46" s="2"/>
      <c r="AL46" s="2"/>
    </row>
    <row r="47" spans="1:40" ht="16" thickBot="1">
      <c r="B47" s="444"/>
      <c r="G47" s="481">
        <v>9</v>
      </c>
      <c r="H47" s="468" t="s">
        <v>451</v>
      </c>
      <c r="I47" s="460">
        <v>25</v>
      </c>
      <c r="J47" s="460">
        <v>30</v>
      </c>
      <c r="M47" s="2"/>
      <c r="N47" s="2"/>
      <c r="O47" s="386"/>
      <c r="P47" s="386"/>
      <c r="Q47" s="386"/>
      <c r="R47" s="2"/>
      <c r="Y47" s="2"/>
      <c r="Z47" s="2"/>
      <c r="AA47" s="2"/>
      <c r="AB47" s="2"/>
      <c r="AG47" s="2"/>
      <c r="AH47" s="143" t="str">
        <f t="shared" si="6"/>
        <v>Steve Medway</v>
      </c>
      <c r="AI47" s="1">
        <v>31</v>
      </c>
      <c r="AJ47"/>
      <c r="AK47" s="2"/>
      <c r="AL47" s="2"/>
    </row>
    <row r="48" spans="1:40" ht="16" thickBot="1">
      <c r="B48" s="444"/>
      <c r="G48" s="481">
        <v>10</v>
      </c>
      <c r="H48" s="468" t="s">
        <v>446</v>
      </c>
      <c r="I48" s="460">
        <v>25</v>
      </c>
      <c r="J48" s="460">
        <v>18</v>
      </c>
      <c r="M48" s="2"/>
      <c r="N48" s="2"/>
      <c r="O48" s="386"/>
      <c r="P48" s="386"/>
      <c r="Q48" s="386"/>
      <c r="R48" s="2"/>
      <c r="Y48" s="2"/>
      <c r="Z48" s="2"/>
      <c r="AA48" s="2"/>
      <c r="AB48" s="2"/>
      <c r="AG48" s="2"/>
      <c r="AH48" s="143" t="str">
        <f t="shared" si="6"/>
        <v>Kyle Schembri</v>
      </c>
      <c r="AI48" s="1">
        <v>30</v>
      </c>
      <c r="AJ48"/>
      <c r="AK48" s="2"/>
      <c r="AL48" s="2"/>
    </row>
    <row r="49" spans="2:38">
      <c r="B49" s="444"/>
      <c r="N49" s="2"/>
      <c r="O49" s="386"/>
      <c r="P49" s="386"/>
      <c r="Q49" s="386"/>
      <c r="Y49" s="2"/>
      <c r="Z49" s="2"/>
      <c r="AA49" s="2"/>
      <c r="AB49" s="2"/>
      <c r="AG49" s="2"/>
      <c r="AH49" s="143" t="str">
        <f t="shared" si="6"/>
        <v>Ron Nicol</v>
      </c>
      <c r="AI49" s="1">
        <v>29</v>
      </c>
      <c r="AJ49"/>
      <c r="AK49" s="2"/>
      <c r="AL49" s="2"/>
    </row>
    <row r="50" spans="2:38">
      <c r="B50" s="444"/>
      <c r="N50" s="2"/>
      <c r="O50" s="386"/>
      <c r="P50" s="386"/>
      <c r="Q50" s="386"/>
      <c r="Y50" s="2"/>
      <c r="Z50" s="2"/>
      <c r="AA50" s="2"/>
      <c r="AB50" s="2"/>
      <c r="AG50" s="2"/>
      <c r="AH50" s="143" t="str">
        <f t="shared" si="6"/>
        <v>Terry Roesch</v>
      </c>
      <c r="AI50" s="1">
        <v>28</v>
      </c>
      <c r="AJ50"/>
      <c r="AK50" s="2"/>
      <c r="AL50" s="2"/>
    </row>
    <row r="51" spans="2:38">
      <c r="B51" s="177"/>
      <c r="Y51" s="2"/>
      <c r="Z51" s="2"/>
      <c r="AA51" s="2"/>
      <c r="AB51" s="2"/>
      <c r="AG51" s="2"/>
      <c r="AH51" s="143" t="str">
        <f t="shared" si="6"/>
        <v>Doug Osborne</v>
      </c>
      <c r="AI51" s="1">
        <v>27</v>
      </c>
      <c r="AJ51"/>
      <c r="AK51" s="2"/>
      <c r="AL51" s="2"/>
    </row>
    <row r="52" spans="2:38">
      <c r="B52" s="177"/>
      <c r="Y52" s="2"/>
      <c r="Z52" s="2"/>
      <c r="AA52" s="2"/>
      <c r="AB52" s="2"/>
      <c r="AG52" s="2"/>
      <c r="AH52" s="143" t="str">
        <f t="shared" si="6"/>
        <v>Julian Ticco</v>
      </c>
      <c r="AI52" s="1">
        <v>26</v>
      </c>
      <c r="AJ52"/>
      <c r="AK52" s="2"/>
      <c r="AL52" s="2"/>
    </row>
    <row r="53" spans="2:38">
      <c r="B53" s="177"/>
      <c r="Y53" s="2"/>
      <c r="Z53" s="2"/>
      <c r="AA53" s="2"/>
      <c r="AB53" s="2"/>
      <c r="AG53" s="2"/>
      <c r="AH53" s="143" t="str">
        <f>Y16</f>
        <v>Bruno Richter</v>
      </c>
      <c r="AI53" s="1">
        <f>25+2</f>
        <v>27</v>
      </c>
      <c r="AJ53" s="186" t="s">
        <v>227</v>
      </c>
      <c r="AK53" s="2"/>
      <c r="AL53" s="2"/>
    </row>
    <row r="54" spans="2:38">
      <c r="B54" s="177"/>
      <c r="G54" s="2"/>
      <c r="H54" s="2"/>
      <c r="I54" s="2"/>
      <c r="J54" s="2"/>
      <c r="T54" s="386"/>
      <c r="U54" s="386"/>
      <c r="V54" s="386"/>
      <c r="Y54" s="2"/>
      <c r="Z54" s="2"/>
      <c r="AA54" s="2"/>
      <c r="AB54" s="2"/>
      <c r="AC54" s="2"/>
      <c r="AD54" s="2"/>
      <c r="AE54" s="2"/>
      <c r="AF54" s="2"/>
      <c r="AG54" s="2"/>
      <c r="AH54" s="143" t="str">
        <f t="shared" ref="AH54:AH62" si="7">Y17</f>
        <v>Paul Trnka</v>
      </c>
      <c r="AI54" s="1">
        <f>24+1</f>
        <v>25</v>
      </c>
      <c r="AJ54" s="186" t="s">
        <v>228</v>
      </c>
      <c r="AK54" s="2"/>
      <c r="AL54" s="2"/>
    </row>
    <row r="55" spans="2:38">
      <c r="B55" s="177"/>
      <c r="G55" s="386"/>
      <c r="H55" s="386"/>
      <c r="I55" s="386"/>
      <c r="J55" s="386"/>
      <c r="Y55" s="2"/>
      <c r="Z55" s="2"/>
      <c r="AA55" s="2"/>
      <c r="AB55" s="2"/>
      <c r="AC55" s="2"/>
      <c r="AD55" s="2"/>
      <c r="AE55" s="2"/>
      <c r="AF55" s="2"/>
      <c r="AG55" s="2"/>
      <c r="AH55" s="143" t="str">
        <f t="shared" si="7"/>
        <v>Joe Kello</v>
      </c>
      <c r="AI55" s="1">
        <v>23</v>
      </c>
      <c r="AK55" s="2"/>
      <c r="AL55" s="2"/>
    </row>
    <row r="56" spans="2:38">
      <c r="B56" s="177"/>
      <c r="G56" s="386"/>
      <c r="H56" s="386"/>
      <c r="I56" s="386"/>
      <c r="J56" s="386"/>
      <c r="Y56" s="2"/>
      <c r="Z56" s="2"/>
      <c r="AA56" s="2"/>
      <c r="AB56" s="2"/>
      <c r="AC56" s="2"/>
      <c r="AD56" s="2"/>
      <c r="AE56" s="2"/>
      <c r="AF56" s="2"/>
      <c r="AG56" s="2"/>
      <c r="AH56" s="143" t="str">
        <f t="shared" si="7"/>
        <v>Robin Piotto</v>
      </c>
      <c r="AI56" s="1">
        <v>22</v>
      </c>
      <c r="AK56" s="2"/>
      <c r="AL56" s="2"/>
    </row>
    <row r="57" spans="2:38">
      <c r="B57" s="177"/>
      <c r="Y57" s="2"/>
      <c r="Z57" s="2"/>
      <c r="AA57" s="2"/>
      <c r="AB57" s="2"/>
      <c r="AC57" s="2"/>
      <c r="AD57" s="2"/>
      <c r="AE57" s="2"/>
      <c r="AF57" s="2"/>
      <c r="AG57" s="2"/>
      <c r="AH57" s="143" t="str">
        <f t="shared" si="7"/>
        <v>Alex Beaton</v>
      </c>
      <c r="AI57" s="1">
        <v>21</v>
      </c>
      <c r="AK57" s="2"/>
      <c r="AL57" s="2"/>
    </row>
    <row r="58" spans="2:38">
      <c r="B58" s="177"/>
      <c r="Y58" s="2"/>
      <c r="Z58" s="2"/>
      <c r="AA58" s="2"/>
      <c r="AB58" s="2"/>
      <c r="AC58" s="2"/>
      <c r="AD58" s="2"/>
      <c r="AE58" s="2"/>
      <c r="AF58" s="2"/>
      <c r="AG58" s="2"/>
      <c r="AH58" s="143" t="str">
        <f t="shared" si="7"/>
        <v>Norine Duck</v>
      </c>
      <c r="AI58" s="1">
        <v>20</v>
      </c>
      <c r="AK58" s="2"/>
      <c r="AL58" s="2"/>
    </row>
    <row r="59" spans="2:38">
      <c r="B59" s="177"/>
      <c r="Y59" s="2"/>
      <c r="Z59" s="2"/>
      <c r="AA59" s="2"/>
      <c r="AB59" s="2"/>
      <c r="AC59" s="2"/>
      <c r="AD59" s="2"/>
      <c r="AE59" s="2"/>
      <c r="AF59" s="2"/>
      <c r="AG59" s="2"/>
      <c r="AH59" s="143" t="str">
        <f t="shared" si="7"/>
        <v>Joan Murphy-Walker</v>
      </c>
      <c r="AI59" s="1">
        <v>20</v>
      </c>
      <c r="AK59" s="2"/>
      <c r="AL59" s="2"/>
    </row>
    <row r="60" spans="2:38">
      <c r="B60" s="177"/>
      <c r="Y60" s="2"/>
      <c r="Z60" s="2"/>
      <c r="AA60" s="2"/>
      <c r="AB60" s="2"/>
      <c r="AC60" s="2"/>
      <c r="AD60" s="2"/>
      <c r="AE60" s="2"/>
      <c r="AF60" s="2"/>
      <c r="AG60" s="2"/>
      <c r="AH60" s="143" t="str">
        <f t="shared" si="7"/>
        <v>Tom Willis</v>
      </c>
      <c r="AI60" s="1">
        <v>20</v>
      </c>
      <c r="AK60" s="2"/>
      <c r="AL60" s="2"/>
    </row>
    <row r="61" spans="2:38">
      <c r="B61" s="177"/>
      <c r="AH61" s="143" t="str">
        <f t="shared" si="7"/>
        <v>Gus Hohmann</v>
      </c>
      <c r="AI61" s="1">
        <v>20</v>
      </c>
      <c r="AK61" s="2"/>
      <c r="AL61" s="2"/>
    </row>
    <row r="62" spans="2:38">
      <c r="B62" s="386"/>
      <c r="AH62" s="143" t="str">
        <f t="shared" si="7"/>
        <v>Dianne Willis</v>
      </c>
      <c r="AI62" s="1">
        <v>20</v>
      </c>
      <c r="AK62" s="2"/>
      <c r="AL62" s="2"/>
    </row>
    <row r="63" spans="2:38">
      <c r="B63" s="386"/>
      <c r="AH63" s="143" t="str">
        <f>AD17</f>
        <v>Martin Edmonds</v>
      </c>
      <c r="AI63" s="1">
        <v>22</v>
      </c>
      <c r="AJ63" s="186" t="s">
        <v>227</v>
      </c>
      <c r="AK63" s="2"/>
      <c r="AL63" s="2"/>
    </row>
    <row r="64" spans="2:38">
      <c r="B64" s="386"/>
      <c r="AH64" s="143" t="str">
        <f>AD16</f>
        <v>Justin Kemp</v>
      </c>
      <c r="AI64" s="1">
        <v>21</v>
      </c>
      <c r="AJ64" s="186" t="s">
        <v>228</v>
      </c>
      <c r="AK64" s="2"/>
      <c r="AL64" s="2"/>
    </row>
    <row r="65" spans="2:38">
      <c r="B65" s="386"/>
      <c r="C65" s="5"/>
      <c r="L65" s="5"/>
      <c r="AH65" s="143" t="str">
        <f>AD18</f>
        <v>Pat Weiler</v>
      </c>
      <c r="AI65" s="1">
        <v>20</v>
      </c>
      <c r="AK65" s="2"/>
      <c r="AL65" s="2"/>
    </row>
    <row r="66" spans="2:38">
      <c r="B66" s="386"/>
      <c r="C66" s="5"/>
      <c r="L66" s="5"/>
      <c r="AH66" s="143" t="str">
        <f t="shared" ref="AH66:AH71" si="8">AD19</f>
        <v>Anne Curtain</v>
      </c>
      <c r="AI66" s="1">
        <v>20</v>
      </c>
      <c r="AK66" s="2"/>
      <c r="AL66" s="2"/>
    </row>
    <row r="67" spans="2:38">
      <c r="B67" s="386"/>
      <c r="C67" s="5"/>
      <c r="L67" s="5"/>
      <c r="AH67" s="143" t="str">
        <f t="shared" si="8"/>
        <v>Mary Hohman</v>
      </c>
      <c r="AI67" s="1">
        <v>20</v>
      </c>
      <c r="AK67" s="2"/>
      <c r="AL67" s="2"/>
    </row>
    <row r="68" spans="2:38">
      <c r="B68" s="386"/>
      <c r="C68" s="5"/>
      <c r="L68" s="5"/>
      <c r="AH68" s="143" t="str">
        <f t="shared" si="8"/>
        <v>Terry Johnson</v>
      </c>
      <c r="AI68" s="1">
        <v>20</v>
      </c>
      <c r="AK68" s="2"/>
      <c r="AL68" s="2"/>
    </row>
    <row r="69" spans="2:38">
      <c r="B69" s="386"/>
      <c r="C69" s="5"/>
      <c r="L69" s="5"/>
      <c r="AH69" s="143" t="str">
        <f t="shared" si="8"/>
        <v>Sylvia Brettrager</v>
      </c>
      <c r="AI69" s="1">
        <v>20</v>
      </c>
      <c r="AK69" s="2"/>
      <c r="AL69" s="2"/>
    </row>
    <row r="70" spans="2:38">
      <c r="B70" s="386"/>
      <c r="C70" s="5"/>
      <c r="L70" s="5"/>
      <c r="AH70" s="143" t="str">
        <f t="shared" si="8"/>
        <v>Doug Young</v>
      </c>
      <c r="AI70" s="1">
        <v>20</v>
      </c>
      <c r="AK70" s="2"/>
      <c r="AL70" s="2"/>
    </row>
    <row r="71" spans="2:38">
      <c r="B71" s="386"/>
      <c r="C71" s="5"/>
      <c r="L71" s="5"/>
      <c r="AH71" s="143" t="str">
        <f t="shared" si="8"/>
        <v>Caroline Baker</v>
      </c>
      <c r="AI71" s="1">
        <v>20</v>
      </c>
      <c r="AK71" s="2"/>
      <c r="AL71" s="2"/>
    </row>
    <row r="72" spans="2:38">
      <c r="B72" s="386"/>
      <c r="C72" s="5"/>
      <c r="L72" s="5"/>
    </row>
    <row r="73" spans="2:38">
      <c r="B73" s="507"/>
      <c r="C73" s="5"/>
      <c r="L73" s="5"/>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workbookViewId="0">
      <selection activeCell="D6" sqref="D6"/>
    </sheetView>
  </sheetViews>
  <sheetFormatPr baseColWidth="10" defaultRowHeight="15" x14ac:dyDescent="0"/>
  <sheetData>
    <row r="1" spans="1:2">
      <c r="A1" t="s">
        <v>154</v>
      </c>
      <c r="B1" t="s">
        <v>0</v>
      </c>
    </row>
    <row r="2" spans="1:2">
      <c r="A2" s="119" t="s">
        <v>5</v>
      </c>
      <c r="B2">
        <v>50</v>
      </c>
    </row>
    <row r="3" spans="1:2">
      <c r="A3" s="119" t="s">
        <v>35</v>
      </c>
      <c r="B3">
        <v>47</v>
      </c>
    </row>
    <row r="4" spans="1:2">
      <c r="A4" s="119" t="s">
        <v>503</v>
      </c>
      <c r="B4">
        <v>45</v>
      </c>
    </row>
    <row r="5" spans="1:2">
      <c r="A5" s="119" t="s">
        <v>278</v>
      </c>
      <c r="B5">
        <v>43</v>
      </c>
    </row>
    <row r="6" spans="1:2">
      <c r="A6" s="119" t="s">
        <v>36</v>
      </c>
      <c r="B6">
        <v>41</v>
      </c>
    </row>
    <row r="7" spans="1:2">
      <c r="A7" s="119" t="s">
        <v>504</v>
      </c>
      <c r="B7">
        <v>40</v>
      </c>
    </row>
    <row r="8" spans="1:2">
      <c r="A8" s="119" t="s">
        <v>505</v>
      </c>
      <c r="B8">
        <v>39</v>
      </c>
    </row>
    <row r="9" spans="1:2">
      <c r="A9" s="119" t="s">
        <v>506</v>
      </c>
      <c r="B9">
        <v>38</v>
      </c>
    </row>
    <row r="10" spans="1:2">
      <c r="A10" s="119" t="s">
        <v>507</v>
      </c>
      <c r="B10">
        <v>37</v>
      </c>
    </row>
    <row r="11" spans="1:2">
      <c r="A11" s="119" t="s">
        <v>508</v>
      </c>
      <c r="B11">
        <v>36</v>
      </c>
    </row>
    <row r="12" spans="1:2">
      <c r="A12" s="119" t="s">
        <v>509</v>
      </c>
      <c r="B12">
        <v>35</v>
      </c>
    </row>
    <row r="13" spans="1:2">
      <c r="A13" s="119" t="s">
        <v>510</v>
      </c>
      <c r="B13">
        <v>34</v>
      </c>
    </row>
    <row r="14" spans="1:2">
      <c r="A14" s="119" t="s">
        <v>511</v>
      </c>
      <c r="B14">
        <v>33</v>
      </c>
    </row>
    <row r="15" spans="1:2">
      <c r="A15" s="119" t="s">
        <v>512</v>
      </c>
      <c r="B15">
        <v>32</v>
      </c>
    </row>
    <row r="16" spans="1:2">
      <c r="A16" s="119" t="s">
        <v>513</v>
      </c>
      <c r="B16">
        <v>31</v>
      </c>
    </row>
    <row r="17" spans="1:2">
      <c r="A17" s="119" t="s">
        <v>514</v>
      </c>
      <c r="B17">
        <v>30</v>
      </c>
    </row>
    <row r="18" spans="1:2">
      <c r="A18" s="119" t="s">
        <v>515</v>
      </c>
      <c r="B18">
        <v>29</v>
      </c>
    </row>
    <row r="19" spans="1:2">
      <c r="A19" s="119" t="s">
        <v>516</v>
      </c>
      <c r="B19">
        <v>28</v>
      </c>
    </row>
    <row r="20" spans="1:2">
      <c r="A20" s="119" t="s">
        <v>517</v>
      </c>
      <c r="B20">
        <v>27</v>
      </c>
    </row>
    <row r="21" spans="1:2">
      <c r="A21" s="119" t="s">
        <v>518</v>
      </c>
      <c r="B21">
        <v>26</v>
      </c>
    </row>
    <row r="22" spans="1:2">
      <c r="A22" s="119" t="s">
        <v>519</v>
      </c>
      <c r="B22">
        <v>25</v>
      </c>
    </row>
    <row r="23" spans="1:2">
      <c r="A23" s="119" t="s">
        <v>520</v>
      </c>
      <c r="B23">
        <v>24</v>
      </c>
    </row>
    <row r="24" spans="1:2">
      <c r="A24" s="119" t="s">
        <v>521</v>
      </c>
      <c r="B24">
        <v>23</v>
      </c>
    </row>
    <row r="25" spans="1:2">
      <c r="A25" s="119" t="s">
        <v>522</v>
      </c>
      <c r="B25">
        <v>22</v>
      </c>
    </row>
    <row r="26" spans="1:2">
      <c r="A26" s="119" t="s">
        <v>523</v>
      </c>
      <c r="B26">
        <v>21</v>
      </c>
    </row>
    <row r="27" spans="1:2">
      <c r="A27" s="119" t="s">
        <v>524</v>
      </c>
      <c r="B27">
        <v>20</v>
      </c>
    </row>
    <row r="28" spans="1:2">
      <c r="A28" s="119" t="s">
        <v>525</v>
      </c>
      <c r="B28">
        <v>20</v>
      </c>
    </row>
    <row r="29" spans="1:2">
      <c r="A29" s="119" t="s">
        <v>526</v>
      </c>
      <c r="B29">
        <v>20</v>
      </c>
    </row>
    <row r="30" spans="1:2">
      <c r="A30" s="119" t="s">
        <v>527</v>
      </c>
      <c r="B30">
        <v>20</v>
      </c>
    </row>
    <row r="31" spans="1:2">
      <c r="A31" s="119" t="s">
        <v>528</v>
      </c>
      <c r="B31">
        <v>20</v>
      </c>
    </row>
    <row r="32" spans="1:2">
      <c r="A32" s="119" t="s">
        <v>529</v>
      </c>
      <c r="B32">
        <v>20</v>
      </c>
    </row>
    <row r="33" spans="1:2">
      <c r="A33" s="119" t="s">
        <v>530</v>
      </c>
      <c r="B33">
        <v>20</v>
      </c>
    </row>
    <row r="34" spans="1:2">
      <c r="A34" t="s">
        <v>2</v>
      </c>
      <c r="B34">
        <v>50</v>
      </c>
    </row>
    <row r="35" spans="1:2">
      <c r="A35" t="s">
        <v>38</v>
      </c>
      <c r="B35">
        <v>47</v>
      </c>
    </row>
    <row r="36" spans="1:2">
      <c r="A36" t="s">
        <v>477</v>
      </c>
      <c r="B36">
        <v>45</v>
      </c>
    </row>
    <row r="37" spans="1:2">
      <c r="A37" t="s">
        <v>42</v>
      </c>
      <c r="B37">
        <v>43</v>
      </c>
    </row>
    <row r="38" spans="1:2">
      <c r="A38" t="s">
        <v>4</v>
      </c>
      <c r="B38">
        <v>41</v>
      </c>
    </row>
    <row r="39" spans="1:2">
      <c r="A39" t="s">
        <v>478</v>
      </c>
      <c r="B39">
        <v>40</v>
      </c>
    </row>
    <row r="40" spans="1:2">
      <c r="A40" t="s">
        <v>479</v>
      </c>
      <c r="B40">
        <v>39</v>
      </c>
    </row>
    <row r="41" spans="1:2">
      <c r="A41" t="s">
        <v>480</v>
      </c>
      <c r="B41">
        <v>38</v>
      </c>
    </row>
    <row r="42" spans="1:2">
      <c r="A42" t="s">
        <v>16</v>
      </c>
      <c r="B42">
        <v>37</v>
      </c>
    </row>
    <row r="43" spans="1:2">
      <c r="A43" t="s">
        <v>481</v>
      </c>
      <c r="B43">
        <v>36</v>
      </c>
    </row>
    <row r="44" spans="1:2">
      <c r="A44" t="s">
        <v>482</v>
      </c>
      <c r="B44">
        <v>35</v>
      </c>
    </row>
    <row r="45" spans="1:2">
      <c r="A45" t="s">
        <v>483</v>
      </c>
      <c r="B45">
        <v>34</v>
      </c>
    </row>
    <row r="46" spans="1:2">
      <c r="A46" t="s">
        <v>484</v>
      </c>
      <c r="B46">
        <v>33</v>
      </c>
    </row>
    <row r="47" spans="1:2">
      <c r="A47" t="s">
        <v>326</v>
      </c>
      <c r="B47">
        <v>32</v>
      </c>
    </row>
    <row r="48" spans="1:2">
      <c r="A48" t="s">
        <v>485</v>
      </c>
      <c r="B48">
        <v>31</v>
      </c>
    </row>
    <row r="49" spans="1:2">
      <c r="A49" t="s">
        <v>486</v>
      </c>
      <c r="B49">
        <v>30</v>
      </c>
    </row>
    <row r="50" spans="1:2">
      <c r="A50" t="s">
        <v>487</v>
      </c>
      <c r="B50">
        <v>29</v>
      </c>
    </row>
    <row r="51" spans="1:2">
      <c r="A51" t="s">
        <v>488</v>
      </c>
      <c r="B51">
        <v>28</v>
      </c>
    </row>
    <row r="52" spans="1:2">
      <c r="A52" t="s">
        <v>489</v>
      </c>
      <c r="B52">
        <v>27</v>
      </c>
    </row>
    <row r="53" spans="1:2">
      <c r="A53" t="s">
        <v>490</v>
      </c>
      <c r="B53">
        <v>26</v>
      </c>
    </row>
    <row r="54" spans="1:2">
      <c r="A54" t="s">
        <v>491</v>
      </c>
      <c r="B54">
        <v>25</v>
      </c>
    </row>
    <row r="55" spans="1:2">
      <c r="A55" t="s">
        <v>492</v>
      </c>
      <c r="B55">
        <v>24</v>
      </c>
    </row>
    <row r="56" spans="1:2">
      <c r="A56" t="s">
        <v>493</v>
      </c>
      <c r="B56">
        <v>23</v>
      </c>
    </row>
    <row r="57" spans="1:2">
      <c r="A57" t="s">
        <v>494</v>
      </c>
      <c r="B57">
        <v>22</v>
      </c>
    </row>
    <row r="58" spans="1:2">
      <c r="A58" t="s">
        <v>495</v>
      </c>
      <c r="B58">
        <v>21</v>
      </c>
    </row>
    <row r="59" spans="1:2">
      <c r="A59" t="s">
        <v>496</v>
      </c>
      <c r="B59">
        <v>20</v>
      </c>
    </row>
    <row r="60" spans="1:2">
      <c r="A60" t="s">
        <v>497</v>
      </c>
      <c r="B60">
        <v>20</v>
      </c>
    </row>
    <row r="61" spans="1:2">
      <c r="A61" t="s">
        <v>498</v>
      </c>
      <c r="B61">
        <v>20</v>
      </c>
    </row>
    <row r="62" spans="1:2">
      <c r="A62" t="s">
        <v>499</v>
      </c>
      <c r="B62">
        <v>20</v>
      </c>
    </row>
    <row r="63" spans="1:2">
      <c r="A63" t="s">
        <v>500</v>
      </c>
      <c r="B63">
        <v>20</v>
      </c>
    </row>
    <row r="64" spans="1:2">
      <c r="A64" t="s">
        <v>501</v>
      </c>
      <c r="B64">
        <v>20</v>
      </c>
    </row>
    <row r="65" spans="1:2">
      <c r="A65" t="s">
        <v>502</v>
      </c>
      <c r="B65">
        <v>20</v>
      </c>
    </row>
  </sheetData>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workbookViewId="0">
      <selection activeCell="J19" sqref="J19"/>
    </sheetView>
  </sheetViews>
  <sheetFormatPr baseColWidth="10" defaultRowHeight="15" x14ac:dyDescent="0"/>
  <sheetData>
    <row r="1" spans="1:7">
      <c r="A1" t="s">
        <v>154</v>
      </c>
      <c r="B1" t="s">
        <v>0</v>
      </c>
    </row>
    <row r="2" spans="1:7">
      <c r="A2" s="119" t="s">
        <v>103</v>
      </c>
      <c r="B2">
        <v>50</v>
      </c>
      <c r="D2" s="119" t="s">
        <v>44</v>
      </c>
      <c r="E2">
        <v>50</v>
      </c>
    </row>
    <row r="3" spans="1:7">
      <c r="A3" s="119" t="s">
        <v>36</v>
      </c>
      <c r="B3">
        <v>47</v>
      </c>
      <c r="D3" s="119" t="s">
        <v>536</v>
      </c>
      <c r="E3">
        <v>47</v>
      </c>
    </row>
    <row r="4" spans="1:7">
      <c r="A4" s="119" t="s">
        <v>34</v>
      </c>
      <c r="B4">
        <v>45</v>
      </c>
      <c r="D4" s="119" t="s">
        <v>124</v>
      </c>
      <c r="E4">
        <v>45</v>
      </c>
    </row>
    <row r="5" spans="1:7">
      <c r="A5" s="119" t="s">
        <v>35</v>
      </c>
      <c r="B5">
        <v>43</v>
      </c>
      <c r="D5" s="119" t="s">
        <v>346</v>
      </c>
      <c r="E5">
        <v>43</v>
      </c>
    </row>
    <row r="6" spans="1:7">
      <c r="A6" s="119" t="s">
        <v>8</v>
      </c>
      <c r="B6">
        <v>41</v>
      </c>
      <c r="D6" s="119" t="s">
        <v>396</v>
      </c>
      <c r="E6">
        <v>41</v>
      </c>
    </row>
    <row r="7" spans="1:7">
      <c r="A7" s="119" t="s">
        <v>22</v>
      </c>
      <c r="B7">
        <f>B6-1</f>
        <v>40</v>
      </c>
      <c r="D7" s="119" t="s">
        <v>338</v>
      </c>
      <c r="E7">
        <f>E6-1</f>
        <v>40</v>
      </c>
    </row>
    <row r="8" spans="1:7">
      <c r="A8" s="119" t="s">
        <v>5</v>
      </c>
      <c r="B8">
        <f t="shared" ref="B8:B24" si="0">B7-1</f>
        <v>39</v>
      </c>
      <c r="D8" s="119" t="s">
        <v>32</v>
      </c>
      <c r="E8">
        <f t="shared" ref="E8:E23" si="1">E7-1</f>
        <v>39</v>
      </c>
    </row>
    <row r="9" spans="1:7">
      <c r="A9" s="119" t="s">
        <v>155</v>
      </c>
      <c r="B9">
        <f t="shared" si="0"/>
        <v>38</v>
      </c>
      <c r="D9" s="119" t="s">
        <v>123</v>
      </c>
      <c r="E9">
        <f t="shared" si="1"/>
        <v>38</v>
      </c>
    </row>
    <row r="10" spans="1:7">
      <c r="A10" s="119" t="s">
        <v>37</v>
      </c>
      <c r="B10">
        <f t="shared" si="0"/>
        <v>37</v>
      </c>
      <c r="D10" s="119" t="s">
        <v>537</v>
      </c>
      <c r="E10">
        <f t="shared" si="1"/>
        <v>37</v>
      </c>
    </row>
    <row r="11" spans="1:7">
      <c r="A11" s="119" t="s">
        <v>39</v>
      </c>
      <c r="B11">
        <f t="shared" si="0"/>
        <v>36</v>
      </c>
      <c r="D11" s="119" t="s">
        <v>538</v>
      </c>
      <c r="E11">
        <f t="shared" si="1"/>
        <v>36</v>
      </c>
    </row>
    <row r="12" spans="1:7">
      <c r="A12" s="119" t="s">
        <v>109</v>
      </c>
      <c r="B12">
        <f t="shared" si="0"/>
        <v>35</v>
      </c>
      <c r="D12" s="119" t="s">
        <v>352</v>
      </c>
      <c r="E12">
        <f t="shared" si="1"/>
        <v>35</v>
      </c>
      <c r="G12" s="119"/>
    </row>
    <row r="13" spans="1:7">
      <c r="A13" s="119" t="s">
        <v>42</v>
      </c>
      <c r="B13">
        <f t="shared" si="0"/>
        <v>34</v>
      </c>
      <c r="D13" s="119" t="s">
        <v>539</v>
      </c>
      <c r="E13">
        <v>36</v>
      </c>
      <c r="G13" s="119"/>
    </row>
    <row r="14" spans="1:7">
      <c r="A14" s="119" t="s">
        <v>2</v>
      </c>
      <c r="B14">
        <v>35</v>
      </c>
      <c r="D14" s="119" t="s">
        <v>136</v>
      </c>
      <c r="E14">
        <v>34</v>
      </c>
      <c r="G14" s="119"/>
    </row>
    <row r="15" spans="1:7">
      <c r="A15" s="119" t="s">
        <v>38</v>
      </c>
      <c r="B15">
        <v>33</v>
      </c>
      <c r="D15" s="119" t="s">
        <v>339</v>
      </c>
      <c r="E15">
        <v>32</v>
      </c>
      <c r="G15" s="119"/>
    </row>
    <row r="16" spans="1:7">
      <c r="A16" s="119" t="s">
        <v>4</v>
      </c>
      <c r="B16">
        <v>31</v>
      </c>
      <c r="D16" s="119" t="s">
        <v>45</v>
      </c>
      <c r="E16">
        <v>31</v>
      </c>
      <c r="G16" s="119"/>
    </row>
    <row r="17" spans="1:7">
      <c r="A17" s="119" t="s">
        <v>16</v>
      </c>
      <c r="B17">
        <f t="shared" si="0"/>
        <v>30</v>
      </c>
      <c r="D17" s="119" t="s">
        <v>48</v>
      </c>
      <c r="E17">
        <f t="shared" si="1"/>
        <v>30</v>
      </c>
      <c r="G17" s="119"/>
    </row>
    <row r="18" spans="1:7">
      <c r="A18" s="119" t="s">
        <v>121</v>
      </c>
      <c r="B18">
        <f t="shared" si="0"/>
        <v>29</v>
      </c>
      <c r="D18" s="119" t="s">
        <v>540</v>
      </c>
      <c r="E18">
        <f t="shared" si="1"/>
        <v>29</v>
      </c>
      <c r="G18" s="119"/>
    </row>
    <row r="19" spans="1:7">
      <c r="A19" s="119" t="s">
        <v>30</v>
      </c>
      <c r="B19">
        <f t="shared" si="0"/>
        <v>28</v>
      </c>
      <c r="D19" s="119" t="s">
        <v>238</v>
      </c>
      <c r="E19">
        <f t="shared" si="1"/>
        <v>28</v>
      </c>
      <c r="G19" s="119"/>
    </row>
    <row r="20" spans="1:7">
      <c r="A20" s="119" t="s">
        <v>50</v>
      </c>
      <c r="B20">
        <f t="shared" si="0"/>
        <v>27</v>
      </c>
      <c r="D20" s="119" t="s">
        <v>541</v>
      </c>
      <c r="E20">
        <f t="shared" si="1"/>
        <v>27</v>
      </c>
    </row>
    <row r="21" spans="1:7">
      <c r="A21" s="119" t="s">
        <v>531</v>
      </c>
      <c r="B21">
        <f t="shared" si="0"/>
        <v>26</v>
      </c>
      <c r="D21" s="119" t="s">
        <v>349</v>
      </c>
      <c r="E21">
        <f t="shared" si="1"/>
        <v>26</v>
      </c>
    </row>
    <row r="22" spans="1:7">
      <c r="A22" s="119" t="s">
        <v>23</v>
      </c>
      <c r="B22">
        <f t="shared" si="0"/>
        <v>25</v>
      </c>
      <c r="D22" s="119" t="s">
        <v>542</v>
      </c>
      <c r="E22">
        <f t="shared" si="1"/>
        <v>25</v>
      </c>
    </row>
    <row r="23" spans="1:7">
      <c r="A23" s="119" t="s">
        <v>532</v>
      </c>
      <c r="B23">
        <f t="shared" si="0"/>
        <v>24</v>
      </c>
      <c r="D23" s="119" t="s">
        <v>457</v>
      </c>
      <c r="E23">
        <f t="shared" si="1"/>
        <v>24</v>
      </c>
    </row>
    <row r="24" spans="1:7">
      <c r="A24" s="119" t="s">
        <v>43</v>
      </c>
      <c r="B24">
        <f t="shared" si="0"/>
        <v>23</v>
      </c>
    </row>
    <row r="25" spans="1:7">
      <c r="A25" s="119" t="s">
        <v>47</v>
      </c>
      <c r="B25">
        <v>24</v>
      </c>
    </row>
    <row r="26" spans="1:7">
      <c r="A26" s="119" t="s">
        <v>323</v>
      </c>
      <c r="B26">
        <v>22</v>
      </c>
    </row>
    <row r="27" spans="1:7">
      <c r="A27" s="119" t="s">
        <v>46</v>
      </c>
      <c r="B27">
        <v>20</v>
      </c>
      <c r="E27" s="119"/>
    </row>
    <row r="28" spans="1:7">
      <c r="A28" s="119" t="s">
        <v>533</v>
      </c>
      <c r="B28">
        <v>20</v>
      </c>
      <c r="E28" s="119"/>
    </row>
    <row r="29" spans="1:7">
      <c r="A29" s="119" t="s">
        <v>40</v>
      </c>
      <c r="B29">
        <v>20</v>
      </c>
      <c r="E29" s="119"/>
    </row>
    <row r="30" spans="1:7">
      <c r="A30" s="119" t="s">
        <v>27</v>
      </c>
      <c r="B30">
        <v>20</v>
      </c>
      <c r="E30" s="119"/>
    </row>
    <row r="31" spans="1:7">
      <c r="A31" s="119" t="s">
        <v>534</v>
      </c>
      <c r="B31">
        <v>20</v>
      </c>
      <c r="E31" s="119"/>
    </row>
    <row r="32" spans="1:7">
      <c r="A32" s="119" t="s">
        <v>54</v>
      </c>
      <c r="B32">
        <v>20</v>
      </c>
    </row>
    <row r="33" spans="1:3">
      <c r="A33" s="119" t="s">
        <v>535</v>
      </c>
      <c r="B33">
        <v>20</v>
      </c>
    </row>
    <row r="34" spans="1:3">
      <c r="A34" s="119" t="s">
        <v>208</v>
      </c>
      <c r="B34">
        <v>20</v>
      </c>
    </row>
    <row r="35" spans="1:3">
      <c r="A35" s="119" t="s">
        <v>329</v>
      </c>
      <c r="B35">
        <v>20</v>
      </c>
    </row>
    <row r="36" spans="1:3">
      <c r="C36" s="119"/>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8"/>
  <sheetViews>
    <sheetView zoomScale="80" zoomScaleNormal="80" zoomScalePageLayoutView="80" workbookViewId="0">
      <selection activeCell="J20" sqref="J20"/>
    </sheetView>
  </sheetViews>
  <sheetFormatPr baseColWidth="10" defaultColWidth="13.6640625" defaultRowHeight="18" x14ac:dyDescent="0"/>
  <cols>
    <col min="1" max="1" width="7.6640625" style="55" customWidth="1"/>
    <col min="2" max="3" width="13.6640625" style="55"/>
    <col min="4" max="4" width="8.83203125" style="55" customWidth="1"/>
    <col min="5" max="6" width="13.6640625" style="55"/>
    <col min="7" max="7" width="7.6640625" style="55" customWidth="1"/>
    <col min="8" max="8" width="2.6640625" style="55" customWidth="1"/>
    <col min="9" max="9" width="6.6640625" style="55" customWidth="1"/>
    <col min="10" max="13" width="13.6640625" style="55"/>
    <col min="14" max="14" width="11.5" style="55" customWidth="1"/>
    <col min="15" max="15" width="13.6640625" style="55"/>
    <col min="16" max="16" width="37.83203125" style="55" customWidth="1"/>
    <col min="17" max="17" width="36.1640625" style="55" customWidth="1"/>
    <col min="18" max="18" width="13.6640625" style="57"/>
    <col min="19" max="16384" width="13.6640625" style="55"/>
  </cols>
  <sheetData>
    <row r="1" spans="2:19" ht="31">
      <c r="D1" s="56" t="s">
        <v>55</v>
      </c>
    </row>
    <row r="2" spans="2:19" ht="23">
      <c r="D2" s="52" t="s">
        <v>83</v>
      </c>
    </row>
    <row r="3" spans="2:19" s="58" customFormat="1" ht="22" thickBot="1">
      <c r="B3" s="59" t="s">
        <v>56</v>
      </c>
      <c r="C3" s="59" t="s">
        <v>0</v>
      </c>
      <c r="D3" s="59"/>
      <c r="E3" s="59" t="s">
        <v>56</v>
      </c>
      <c r="F3" s="59" t="s">
        <v>0</v>
      </c>
      <c r="J3" s="58" t="s">
        <v>84</v>
      </c>
      <c r="R3" s="59"/>
    </row>
    <row r="4" spans="2:19" s="60" customFormat="1" ht="26" thickBot="1">
      <c r="B4" s="61" t="s">
        <v>57</v>
      </c>
      <c r="C4" s="61">
        <v>50</v>
      </c>
      <c r="D4" s="62"/>
      <c r="E4" s="61" t="s">
        <v>58</v>
      </c>
      <c r="F4" s="63">
        <v>32</v>
      </c>
      <c r="G4" s="64"/>
      <c r="J4" s="60" t="s">
        <v>85</v>
      </c>
      <c r="N4" s="66"/>
      <c r="O4" s="67"/>
      <c r="P4" s="67"/>
      <c r="Q4" s="67"/>
      <c r="R4" s="65"/>
      <c r="S4" s="66"/>
    </row>
    <row r="5" spans="2:19" s="60" customFormat="1" ht="26" thickBot="1">
      <c r="B5" s="61" t="s">
        <v>60</v>
      </c>
      <c r="C5" s="61">
        <v>47</v>
      </c>
      <c r="D5" s="62"/>
      <c r="E5" s="61" t="s">
        <v>61</v>
      </c>
      <c r="F5" s="63">
        <v>31</v>
      </c>
      <c r="G5" s="64"/>
      <c r="J5" s="60">
        <v>1</v>
      </c>
      <c r="K5" s="60" t="s">
        <v>86</v>
      </c>
      <c r="N5" s="66"/>
      <c r="S5" s="66"/>
    </row>
    <row r="6" spans="2:19" s="60" customFormat="1" ht="26" thickBot="1">
      <c r="B6" s="61" t="s">
        <v>63</v>
      </c>
      <c r="C6" s="61">
        <v>45</v>
      </c>
      <c r="D6" s="62"/>
      <c r="E6" s="61" t="s">
        <v>64</v>
      </c>
      <c r="F6" s="63">
        <v>30</v>
      </c>
      <c r="G6" s="64"/>
      <c r="K6" s="60" t="s">
        <v>87</v>
      </c>
      <c r="N6" s="66"/>
      <c r="S6" s="66"/>
    </row>
    <row r="7" spans="2:19" s="60" customFormat="1" ht="26" thickBot="1">
      <c r="B7" s="61" t="s">
        <v>66</v>
      </c>
      <c r="C7" s="61">
        <v>43</v>
      </c>
      <c r="D7" s="62"/>
      <c r="E7" s="61" t="s">
        <v>67</v>
      </c>
      <c r="F7" s="68">
        <v>29</v>
      </c>
      <c r="G7" s="69"/>
      <c r="K7" s="60" t="s">
        <v>88</v>
      </c>
      <c r="N7" s="66"/>
      <c r="S7" s="66"/>
    </row>
    <row r="8" spans="2:19" s="60" customFormat="1" ht="26" thickBot="1">
      <c r="B8" s="61" t="s">
        <v>69</v>
      </c>
      <c r="C8" s="61">
        <v>41</v>
      </c>
      <c r="D8" s="62"/>
      <c r="E8" s="61" t="s">
        <v>59</v>
      </c>
      <c r="F8" s="68">
        <v>28</v>
      </c>
      <c r="G8" s="69"/>
      <c r="K8" s="60" t="s">
        <v>89</v>
      </c>
      <c r="N8" s="66"/>
      <c r="S8" s="66"/>
    </row>
    <row r="9" spans="2:19" s="60" customFormat="1" ht="26" thickBot="1">
      <c r="B9" s="61" t="s">
        <v>71</v>
      </c>
      <c r="C9" s="61">
        <v>40</v>
      </c>
      <c r="D9" s="62"/>
      <c r="E9" s="61" t="s">
        <v>62</v>
      </c>
      <c r="F9" s="68">
        <v>27</v>
      </c>
      <c r="G9" s="69"/>
      <c r="K9" s="60" t="s">
        <v>90</v>
      </c>
      <c r="N9" s="66"/>
      <c r="S9" s="66"/>
    </row>
    <row r="10" spans="2:19" s="60" customFormat="1" ht="26" thickBot="1">
      <c r="B10" s="61" t="s">
        <v>73</v>
      </c>
      <c r="C10" s="61">
        <v>39</v>
      </c>
      <c r="D10" s="62"/>
      <c r="E10" s="61" t="s">
        <v>65</v>
      </c>
      <c r="F10" s="68">
        <v>26</v>
      </c>
      <c r="G10" s="69"/>
      <c r="J10" s="60">
        <v>2</v>
      </c>
      <c r="K10" s="60" t="s">
        <v>91</v>
      </c>
      <c r="N10" s="66"/>
      <c r="S10" s="66"/>
    </row>
    <row r="11" spans="2:19" s="60" customFormat="1" ht="26" thickBot="1">
      <c r="B11" s="61" t="s">
        <v>75</v>
      </c>
      <c r="C11" s="61">
        <v>38</v>
      </c>
      <c r="D11" s="62"/>
      <c r="E11" s="61" t="s">
        <v>68</v>
      </c>
      <c r="F11" s="68">
        <v>25</v>
      </c>
      <c r="G11" s="69"/>
      <c r="K11" s="60" t="s">
        <v>92</v>
      </c>
      <c r="N11" s="66"/>
      <c r="S11" s="66"/>
    </row>
    <row r="12" spans="2:19" s="60" customFormat="1" ht="26" thickBot="1">
      <c r="B12" s="61" t="s">
        <v>77</v>
      </c>
      <c r="C12" s="61">
        <v>37</v>
      </c>
      <c r="D12" s="62"/>
      <c r="E12" s="61" t="s">
        <v>70</v>
      </c>
      <c r="F12" s="68">
        <v>24</v>
      </c>
      <c r="G12" s="69"/>
      <c r="K12" s="60" t="s">
        <v>93</v>
      </c>
      <c r="N12" s="66"/>
      <c r="S12" s="66"/>
    </row>
    <row r="13" spans="2:19" s="60" customFormat="1" ht="26" thickBot="1">
      <c r="B13" s="61" t="s">
        <v>78</v>
      </c>
      <c r="C13" s="61">
        <v>36</v>
      </c>
      <c r="D13" s="62"/>
      <c r="E13" s="61" t="s">
        <v>72</v>
      </c>
      <c r="F13" s="68">
        <v>23</v>
      </c>
      <c r="G13" s="69"/>
      <c r="N13" s="66"/>
      <c r="S13" s="66"/>
    </row>
    <row r="14" spans="2:19" s="60" customFormat="1" ht="26" thickBot="1">
      <c r="B14" s="61" t="s">
        <v>79</v>
      </c>
      <c r="C14" s="61">
        <v>35</v>
      </c>
      <c r="D14" s="62"/>
      <c r="E14" s="61" t="s">
        <v>74</v>
      </c>
      <c r="F14" s="68">
        <v>22</v>
      </c>
      <c r="G14" s="69"/>
      <c r="J14" s="60" t="s">
        <v>94</v>
      </c>
      <c r="N14" s="66"/>
      <c r="S14" s="66"/>
    </row>
    <row r="15" spans="2:19" s="60" customFormat="1" ht="26" thickBot="1">
      <c r="B15" s="61" t="s">
        <v>80</v>
      </c>
      <c r="C15" s="61">
        <v>34</v>
      </c>
      <c r="D15" s="62"/>
      <c r="E15" s="61" t="s">
        <v>76</v>
      </c>
      <c r="F15" s="70">
        <v>21</v>
      </c>
      <c r="G15" s="69"/>
      <c r="J15" s="60" t="s">
        <v>95</v>
      </c>
      <c r="N15" s="66"/>
      <c r="S15" s="66"/>
    </row>
    <row r="16" spans="2:19" s="60" customFormat="1" ht="26" thickBot="1">
      <c r="B16" s="61" t="s">
        <v>81</v>
      </c>
      <c r="C16" s="61">
        <v>33</v>
      </c>
      <c r="D16" s="62"/>
      <c r="E16" s="61" t="s">
        <v>82</v>
      </c>
      <c r="F16" s="68">
        <v>20</v>
      </c>
      <c r="G16" s="69"/>
      <c r="N16" s="66"/>
      <c r="S16" s="66"/>
    </row>
    <row r="17" spans="4:18" s="58" customFormat="1" ht="21">
      <c r="D17" s="71"/>
      <c r="E17" s="71"/>
      <c r="R17" s="59"/>
    </row>
    <row r="18" spans="4:18" s="58" customFormat="1" ht="21">
      <c r="D18" s="71"/>
      <c r="E18" s="71"/>
      <c r="R18" s="59"/>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4"/>
  <sheetViews>
    <sheetView topLeftCell="A85" zoomScale="80" zoomScaleNormal="80" zoomScalePageLayoutView="80" workbookViewId="0">
      <selection activeCell="A101" sqref="A5:J101"/>
    </sheetView>
  </sheetViews>
  <sheetFormatPr baseColWidth="10" defaultColWidth="15.5" defaultRowHeight="15" x14ac:dyDescent="0"/>
  <cols>
    <col min="1" max="1" width="7.5" style="5" customWidth="1"/>
    <col min="2" max="2" width="28.1640625" style="5" customWidth="1"/>
    <col min="3" max="3" width="11.5" style="5" customWidth="1"/>
    <col min="4" max="4" width="15.83203125" style="5" customWidth="1"/>
    <col min="5" max="6" width="16" style="5" customWidth="1"/>
    <col min="7" max="8" width="13" style="5" customWidth="1"/>
    <col min="9" max="9" width="2.5" style="5" customWidth="1"/>
    <col min="10" max="10" width="9.5" style="5" customWidth="1"/>
    <col min="11" max="11" width="6.83203125" style="5" customWidth="1"/>
    <col min="12" max="12" width="3" style="5" customWidth="1"/>
    <col min="13" max="16384" width="15.5" style="5"/>
  </cols>
  <sheetData>
    <row r="1" spans="1:21" ht="23">
      <c r="B1" s="7" t="s">
        <v>314</v>
      </c>
      <c r="D1" s="8"/>
      <c r="E1" s="8"/>
      <c r="F1" s="8"/>
      <c r="G1" s="8"/>
      <c r="H1" s="8"/>
      <c r="J1" s="8"/>
      <c r="M1" s="8"/>
    </row>
    <row r="2" spans="1:21" ht="23.25" customHeight="1">
      <c r="B2" s="9" t="s">
        <v>313</v>
      </c>
      <c r="D2" s="10" t="s">
        <v>19</v>
      </c>
      <c r="E2" s="10" t="s">
        <v>18</v>
      </c>
      <c r="F2" s="10"/>
      <c r="G2" s="10"/>
      <c r="H2" s="10"/>
      <c r="J2" s="8"/>
      <c r="L2" s="8"/>
      <c r="M2" s="8"/>
    </row>
    <row r="3" spans="1:21" ht="23.25" customHeight="1" thickBot="1">
      <c r="B3" s="12"/>
      <c r="D3" s="10" t="s">
        <v>25</v>
      </c>
      <c r="E3" s="10" t="s">
        <v>24</v>
      </c>
      <c r="F3" s="10" t="s">
        <v>24</v>
      </c>
      <c r="G3" s="10" t="s">
        <v>24</v>
      </c>
      <c r="H3" s="10" t="s">
        <v>24</v>
      </c>
      <c r="J3" s="8"/>
      <c r="L3" s="8"/>
      <c r="M3" s="8"/>
    </row>
    <row r="4" spans="1:21" s="8" customFormat="1" ht="23.25" customHeight="1" thickTop="1" thickBot="1">
      <c r="A4" s="13" t="s">
        <v>9</v>
      </c>
      <c r="B4" s="13" t="s">
        <v>13</v>
      </c>
      <c r="C4" s="13" t="s">
        <v>10</v>
      </c>
      <c r="D4" s="13" t="s">
        <v>26</v>
      </c>
      <c r="E4" s="13" t="s">
        <v>381</v>
      </c>
      <c r="F4" s="13" t="s">
        <v>382</v>
      </c>
      <c r="G4" s="13" t="s">
        <v>11</v>
      </c>
      <c r="H4" s="13" t="s">
        <v>476</v>
      </c>
      <c r="I4" s="14"/>
      <c r="J4" s="13" t="s">
        <v>0</v>
      </c>
      <c r="K4" s="13" t="s">
        <v>14</v>
      </c>
      <c r="L4" s="10"/>
    </row>
    <row r="5" spans="1:21" s="8" customFormat="1" ht="18.75" customHeight="1" thickTop="1" thickBot="1">
      <c r="A5" s="15">
        <f>RANK(J5,J$5:J$179)</f>
        <v>1</v>
      </c>
      <c r="B5" s="16" t="s">
        <v>396</v>
      </c>
      <c r="C5" s="17">
        <f>COUNT(D5:H5)</f>
        <v>3</v>
      </c>
      <c r="D5" s="26" t="str">
        <f>IFERROR(VLOOKUP($B5,ODCC!S:T,2,FALSE),"")</f>
        <v/>
      </c>
      <c r="E5" s="187" t="str">
        <f>IFERROR(VLOOKUP($B5,Elmira!V:W,2,FALSE),"")</f>
        <v/>
      </c>
      <c r="F5" s="187">
        <f>IFERROR(VLOOKUP($B5,Chatham!N:O,2,FALSE),"")</f>
        <v>50</v>
      </c>
      <c r="G5" s="187">
        <f>IFERROR(VLOOKUP($B5,London!AH:AI,2,FALSE),"")</f>
        <v>47</v>
      </c>
      <c r="H5" s="31">
        <f>IFERROR(VLOOKUP($B5,'Ontario Singles'!D:E,2,FALSE),"")</f>
        <v>41</v>
      </c>
      <c r="I5" s="10"/>
      <c r="J5" s="19">
        <f>IFERROR(LARGE(D5:H5,1),0)+IFERROR(LARGE(D5:H5,2),0)+IFERROR(LARGE(D5:H5,3),0)</f>
        <v>138</v>
      </c>
      <c r="K5" s="20">
        <f>SUM(D5:H5)/C5</f>
        <v>46</v>
      </c>
      <c r="L5" s="21"/>
    </row>
    <row r="6" spans="1:21" s="8" customFormat="1" ht="18.75" customHeight="1" thickBot="1">
      <c r="A6" s="15">
        <f>RANK(J6,J$5:J$179)</f>
        <v>2</v>
      </c>
      <c r="B6" s="23" t="s">
        <v>124</v>
      </c>
      <c r="C6" s="17">
        <f>COUNT(D6:H6)</f>
        <v>5</v>
      </c>
      <c r="D6" s="26">
        <f>IFERROR(VLOOKUP($B6,ODCC!S:T,2,FALSE),"")</f>
        <v>47</v>
      </c>
      <c r="E6" s="187">
        <f>IFERROR(VLOOKUP($B6,Elmira!V:W,2,FALSE),"")</f>
        <v>45</v>
      </c>
      <c r="F6" s="187">
        <f>IFERROR(VLOOKUP($B6,Chatham!N:O,2,FALSE),"")</f>
        <v>41</v>
      </c>
      <c r="G6" s="187">
        <f>IFERROR(VLOOKUP($B6,London!AH:AI,2,FALSE),"")</f>
        <v>39</v>
      </c>
      <c r="H6" s="31">
        <f>IFERROR(VLOOKUP($B6,'Ontario Singles'!D:E,2,FALSE),"")</f>
        <v>45</v>
      </c>
      <c r="I6" s="10"/>
      <c r="J6" s="19">
        <f>IFERROR(LARGE(D6:H6,1),0)+IFERROR(LARGE(D6:H6,2),0)+IFERROR(LARGE(D6:H6,3),0)</f>
        <v>137</v>
      </c>
      <c r="K6" s="20">
        <f>SUM(D6:H6)/C6</f>
        <v>43.4</v>
      </c>
      <c r="L6" s="21"/>
      <c r="O6" s="22"/>
    </row>
    <row r="7" spans="1:21" s="8" customFormat="1" ht="18.75" customHeight="1" thickBot="1">
      <c r="A7" s="15">
        <f>RANK(J7,J$5:J$179)</f>
        <v>3</v>
      </c>
      <c r="B7" s="23" t="s">
        <v>32</v>
      </c>
      <c r="C7" s="17">
        <f>COUNT(D7:H7)</f>
        <v>3</v>
      </c>
      <c r="D7" s="26">
        <f>IFERROR(VLOOKUP($B7,ODCC!S:T,2,FALSE),"")</f>
        <v>45</v>
      </c>
      <c r="E7" s="187">
        <f>IFERROR(VLOOKUP($B7,Elmira!V:W,2,FALSE),"")</f>
        <v>50</v>
      </c>
      <c r="F7" s="187" t="str">
        <f>IFERROR(VLOOKUP($B7,Chatham!N:O,2,FALSE),"")</f>
        <v/>
      </c>
      <c r="G7" s="187" t="str">
        <f>IFERROR(VLOOKUP($B7,London!AH:AI,2,FALSE),"")</f>
        <v/>
      </c>
      <c r="H7" s="31">
        <f>IFERROR(VLOOKUP($B7,'Ontario Singles'!D:E,2,FALSE),"")</f>
        <v>39</v>
      </c>
      <c r="I7" s="10"/>
      <c r="J7" s="19">
        <f>IFERROR(LARGE(D7:H7,1),0)+IFERROR(LARGE(D7:H7,2),0)+IFERROR(LARGE(D7:H7,3),0)</f>
        <v>134</v>
      </c>
      <c r="K7" s="20">
        <f>SUM(D7:H7)/C7</f>
        <v>44.666666666666664</v>
      </c>
      <c r="L7" s="21"/>
      <c r="O7" s="22"/>
    </row>
    <row r="8" spans="1:21" s="8" customFormat="1" ht="18.75" customHeight="1" thickBot="1">
      <c r="A8" s="15">
        <f>RANK(J8,J$5:J$179)</f>
        <v>4</v>
      </c>
      <c r="B8" s="23" t="s">
        <v>123</v>
      </c>
      <c r="C8" s="17">
        <f>COUNT(D8:H8)</f>
        <v>5</v>
      </c>
      <c r="D8" s="26">
        <f>IFERROR(VLOOKUP($B8,ODCC!S:T,2,FALSE),"")</f>
        <v>47</v>
      </c>
      <c r="E8" s="187">
        <f>IFERROR(VLOOKUP($B8,Elmira!V:W,2,FALSE),"")</f>
        <v>39</v>
      </c>
      <c r="F8" s="187">
        <f>IFERROR(VLOOKUP($B8,Chatham!N:O,2,FALSE),"")</f>
        <v>47</v>
      </c>
      <c r="G8" s="187">
        <f>IFERROR(VLOOKUP($B8,London!AH:AI,2,FALSE),"")</f>
        <v>33</v>
      </c>
      <c r="H8" s="31">
        <f>IFERROR(VLOOKUP($B8,'Ontario Singles'!D:E,2,FALSE),"")</f>
        <v>38</v>
      </c>
      <c r="I8" s="10"/>
      <c r="J8" s="19">
        <f>IFERROR(LARGE(D8:H8,1),0)+IFERROR(LARGE(D8:H8,2),0)+IFERROR(LARGE(D8:H8,3),0)</f>
        <v>133</v>
      </c>
      <c r="K8" s="20">
        <f>SUM(D8:H8)/C8</f>
        <v>40.799999999999997</v>
      </c>
      <c r="L8" s="21"/>
      <c r="O8" s="10"/>
      <c r="P8" s="28"/>
      <c r="Q8" s="29"/>
      <c r="R8" s="10"/>
    </row>
    <row r="9" spans="1:21" s="8" customFormat="1" ht="18.75" customHeight="1" thickBot="1">
      <c r="A9" s="15">
        <f>RANK(J9,J$5:J$179)</f>
        <v>5</v>
      </c>
      <c r="B9" s="23" t="s">
        <v>397</v>
      </c>
      <c r="C9" s="17">
        <f>COUNT(D9:H9)</f>
        <v>2</v>
      </c>
      <c r="D9" s="26" t="str">
        <f>IFERROR(VLOOKUP($B9,ODCC!S:T,2,FALSE),"")</f>
        <v/>
      </c>
      <c r="E9" s="187" t="str">
        <f>IFERROR(VLOOKUP($B9,Elmira!V:W,2,FALSE),"")</f>
        <v/>
      </c>
      <c r="F9" s="187">
        <f>IFERROR(VLOOKUP($B9,Chatham!N:O,2,FALSE),"")</f>
        <v>43</v>
      </c>
      <c r="G9" s="187">
        <f>IFERROR(VLOOKUP($B9,London!AH:AI,2,FALSE),"")</f>
        <v>50</v>
      </c>
      <c r="H9" s="31" t="str">
        <f>IFERROR(VLOOKUP($B9,'Ontario Singles'!D:E,2,FALSE),"")</f>
        <v/>
      </c>
      <c r="I9" s="10"/>
      <c r="J9" s="19">
        <f>IFERROR(LARGE(D9:H9,1),0)+IFERROR(LARGE(D9:H9,2),0)+IFERROR(LARGE(D9:H9,3),0)</f>
        <v>93</v>
      </c>
      <c r="K9" s="20">
        <f>SUM(D9:H9)/C9</f>
        <v>46.5</v>
      </c>
      <c r="L9" s="21"/>
      <c r="M9" s="2"/>
      <c r="N9" s="10"/>
      <c r="O9" s="27"/>
      <c r="P9" s="10"/>
      <c r="Q9" s="22"/>
      <c r="R9" s="10"/>
    </row>
    <row r="10" spans="1:21" s="8" customFormat="1" ht="18.75" customHeight="1" thickBot="1">
      <c r="A10" s="15">
        <f>RANK(J10,J$5:J$179)</f>
        <v>6</v>
      </c>
      <c r="B10" s="23" t="s">
        <v>238</v>
      </c>
      <c r="C10" s="17">
        <f>COUNT(D10:H10)</f>
        <v>3</v>
      </c>
      <c r="D10" s="26" t="str">
        <f>IFERROR(VLOOKUP($B10,ODCC!S:T,2,FALSE),"")</f>
        <v/>
      </c>
      <c r="E10" s="187">
        <f>IFERROR(VLOOKUP($B10,Elmira!V:W,2,FALSE),"")</f>
        <v>27</v>
      </c>
      <c r="F10" s="187">
        <f>IFERROR(VLOOKUP($B10,Chatham!N:O,2,FALSE),"")</f>
        <v>32</v>
      </c>
      <c r="G10" s="187" t="str">
        <f>IFERROR(VLOOKUP($B10,London!AH:AI,2,FALSE),"")</f>
        <v/>
      </c>
      <c r="H10" s="31">
        <f>IFERROR(VLOOKUP($B10,'Ontario Singles'!D:E,2,FALSE),"")</f>
        <v>28</v>
      </c>
      <c r="I10" s="10"/>
      <c r="J10" s="19">
        <f>IFERROR(LARGE(D10:H10,1),0)+IFERROR(LARGE(D10:H10,2),0)+IFERROR(LARGE(D10:H10,3),0)</f>
        <v>87</v>
      </c>
      <c r="K10" s="20">
        <f>SUM(D10:H10)/C10</f>
        <v>29</v>
      </c>
      <c r="L10" s="21"/>
      <c r="M10" s="2"/>
      <c r="N10" s="2"/>
      <c r="O10" s="22"/>
      <c r="P10" s="34"/>
      <c r="Q10" s="22"/>
      <c r="R10" s="10"/>
    </row>
    <row r="11" spans="1:21" s="8" customFormat="1" ht="18.75" customHeight="1" thickBot="1">
      <c r="A11" s="15">
        <f>RANK(J11,J$5:J$179)</f>
        <v>7</v>
      </c>
      <c r="B11" s="23" t="s">
        <v>338</v>
      </c>
      <c r="C11" s="17">
        <f>COUNT(D11:H11)</f>
        <v>2</v>
      </c>
      <c r="D11" s="26" t="str">
        <f>IFERROR(VLOOKUP($B11,ODCC!S:T,2,FALSE),"")</f>
        <v/>
      </c>
      <c r="E11" s="187">
        <f>IFERROR(VLOOKUP($B11,Elmira!V:W,2,FALSE),"")</f>
        <v>43</v>
      </c>
      <c r="F11" s="187" t="str">
        <f>IFERROR(VLOOKUP($B11,Chatham!N:O,2,FALSE),"")</f>
        <v/>
      </c>
      <c r="G11" s="187" t="str">
        <f>IFERROR(VLOOKUP($B11,London!AH:AI,2,FALSE),"")</f>
        <v/>
      </c>
      <c r="H11" s="31">
        <f>IFERROR(VLOOKUP($B11,'Ontario Singles'!D:E,2,FALSE),"")</f>
        <v>40</v>
      </c>
      <c r="I11" s="10"/>
      <c r="J11" s="19">
        <f>IFERROR(LARGE(D11:H11,1),0)+IFERROR(LARGE(D11:H11,2),0)+IFERROR(LARGE(D11:H11,3),0)</f>
        <v>83</v>
      </c>
      <c r="K11" s="20">
        <f>SUM(D11:H11)/C11</f>
        <v>41.5</v>
      </c>
      <c r="L11" s="21"/>
      <c r="O11" s="27"/>
      <c r="P11" s="5"/>
    </row>
    <row r="12" spans="1:21" s="8" customFormat="1" ht="18.75" customHeight="1" thickBot="1">
      <c r="A12" s="15">
        <f>RANK(J12,J$5:J$179)</f>
        <v>8</v>
      </c>
      <c r="B12" s="23" t="s">
        <v>357</v>
      </c>
      <c r="C12" s="17">
        <f>COUNT(D12:H12)</f>
        <v>3</v>
      </c>
      <c r="D12" s="26" t="str">
        <f>IFERROR(VLOOKUP($B12,ODCC!S:T,2,FALSE),"")</f>
        <v/>
      </c>
      <c r="E12" s="187">
        <f>IFERROR(VLOOKUP($B12,Elmira!V:W,2,FALSE),"")</f>
        <v>22</v>
      </c>
      <c r="F12" s="187">
        <f>IFERROR(VLOOKUP($B12,Chatham!N:O,2,FALSE),"")</f>
        <v>31</v>
      </c>
      <c r="G12" s="187">
        <f>IFERROR(VLOOKUP($B12,London!AH:AI,2,FALSE),"")</f>
        <v>27</v>
      </c>
      <c r="H12" s="31" t="str">
        <f>IFERROR(VLOOKUP($B12,'Ontario Singles'!D:E,2,FALSE),"")</f>
        <v/>
      </c>
      <c r="I12" s="30"/>
      <c r="J12" s="19">
        <f>IFERROR(LARGE(D12:H12,1),0)+IFERROR(LARGE(D12:H12,2),0)+IFERROR(LARGE(D12:H12,3),0)</f>
        <v>80</v>
      </c>
      <c r="K12" s="20">
        <f>SUM(D12:H12)/C12</f>
        <v>26.666666666666668</v>
      </c>
      <c r="L12" s="21"/>
    </row>
    <row r="13" spans="1:21" s="8" customFormat="1" ht="18.75" customHeight="1" thickBot="1">
      <c r="A13" s="15">
        <f>RANK(J13,J$5:J$179)</f>
        <v>8</v>
      </c>
      <c r="B13" s="23" t="s">
        <v>398</v>
      </c>
      <c r="C13" s="17">
        <f>COUNT(D13:H13)</f>
        <v>2</v>
      </c>
      <c r="D13" s="26" t="str">
        <f>IFERROR(VLOOKUP($B13,ODCC!S:T,2,FALSE),"")</f>
        <v/>
      </c>
      <c r="E13" s="187" t="str">
        <f>IFERROR(VLOOKUP($B13,Elmira!V:W,2,FALSE),"")</f>
        <v/>
      </c>
      <c r="F13" s="187">
        <f>IFERROR(VLOOKUP($B13,Chatham!N:O,2,FALSE),"")</f>
        <v>40</v>
      </c>
      <c r="G13" s="187">
        <f>IFERROR(VLOOKUP($B13,London!AH:AI,2,FALSE),"")</f>
        <v>40</v>
      </c>
      <c r="H13" s="31" t="str">
        <f>IFERROR(VLOOKUP($B13,'Ontario Singles'!D:E,2,FALSE),"")</f>
        <v/>
      </c>
      <c r="I13" s="10"/>
      <c r="J13" s="19">
        <f>IFERROR(LARGE(D13:H13,1),0)+IFERROR(LARGE(D13:H13,2),0)+IFERROR(LARGE(D13:H13,3),0)</f>
        <v>80</v>
      </c>
      <c r="K13" s="20">
        <f>SUM(D13:H13)/C13</f>
        <v>40</v>
      </c>
      <c r="M13" s="2"/>
      <c r="N13" s="2"/>
      <c r="O13" s="36"/>
      <c r="P13" s="5"/>
    </row>
    <row r="14" spans="1:21" s="8" customFormat="1" ht="18.75" customHeight="1" thickBot="1">
      <c r="A14" s="15">
        <f>RANK(J14,J$5:J$179)</f>
        <v>10</v>
      </c>
      <c r="B14" s="23" t="s">
        <v>395</v>
      </c>
      <c r="C14" s="17">
        <f>COUNT(D14:H14)</f>
        <v>2</v>
      </c>
      <c r="D14" s="26" t="str">
        <f>IFERROR(VLOOKUP($B14,ODCC!S:T,2,FALSE),"")</f>
        <v/>
      </c>
      <c r="E14" s="187" t="str">
        <f>IFERROR(VLOOKUP($B14,Elmira!V:W,2,FALSE),"")</f>
        <v/>
      </c>
      <c r="F14" s="187">
        <f>IFERROR(VLOOKUP($B14,Chatham!N:O,2,FALSE),"")</f>
        <v>38</v>
      </c>
      <c r="G14" s="187">
        <f>IFERROR(VLOOKUP($B14,London!AH:AI,2,FALSE),"")</f>
        <v>37</v>
      </c>
      <c r="H14" s="31" t="str">
        <f>IFERROR(VLOOKUP($B14,'Ontario Singles'!D:E,2,FALSE),"")</f>
        <v/>
      </c>
      <c r="I14" s="10"/>
      <c r="J14" s="19">
        <f>IFERROR(LARGE(D14:H14,1),0)+IFERROR(LARGE(D14:H14,2),0)+IFERROR(LARGE(D14:H14,3),0)</f>
        <v>75</v>
      </c>
      <c r="K14" s="20">
        <f>SUM(D14:H14)/C14</f>
        <v>37.5</v>
      </c>
      <c r="L14" s="21"/>
      <c r="M14" s="2"/>
      <c r="N14" s="2"/>
      <c r="O14" s="36"/>
      <c r="P14" s="28"/>
      <c r="Q14" s="22"/>
      <c r="R14" s="32"/>
      <c r="S14" s="32"/>
      <c r="T14" s="32"/>
      <c r="U14" s="22"/>
    </row>
    <row r="15" spans="1:21" s="8" customFormat="1" ht="18.75" customHeight="1" thickBot="1">
      <c r="A15" s="15">
        <f>RANK(J15,J$5:J$179)</f>
        <v>11</v>
      </c>
      <c r="B15" s="23" t="s">
        <v>299</v>
      </c>
      <c r="C15" s="17">
        <f>COUNT(D15:H15)</f>
        <v>2</v>
      </c>
      <c r="D15" s="26">
        <f>IFERROR(VLOOKUP($B15,ODCC!S:T,2,FALSE),"")</f>
        <v>37</v>
      </c>
      <c r="E15" s="187" t="str">
        <f>IFERROR(VLOOKUP($B15,Elmira!V:W,2,FALSE),"")</f>
        <v/>
      </c>
      <c r="F15" s="187" t="str">
        <f>IFERROR(VLOOKUP($B15,Chatham!N:O,2,FALSE),"")</f>
        <v/>
      </c>
      <c r="G15" s="187">
        <f>IFERROR(VLOOKUP($B15,London!AH:AI,2,FALSE),"")</f>
        <v>36</v>
      </c>
      <c r="H15" s="31" t="str">
        <f>IFERROR(VLOOKUP($B15,'Ontario Singles'!D:E,2,FALSE),"")</f>
        <v/>
      </c>
      <c r="I15" s="10"/>
      <c r="J15" s="19">
        <f>IFERROR(LARGE(D15:H15,1),0)+IFERROR(LARGE(D15:H15,2),0)+IFERROR(LARGE(D15:H15,3),0)</f>
        <v>73</v>
      </c>
      <c r="K15" s="20">
        <f>SUM(D15:H15)/C15</f>
        <v>36.5</v>
      </c>
      <c r="L15" s="21"/>
      <c r="O15" s="22"/>
    </row>
    <row r="16" spans="1:21" s="8" customFormat="1" ht="18.75" customHeight="1" thickBot="1">
      <c r="A16" s="15">
        <f>RANK(J16,J$5:J$179)</f>
        <v>12</v>
      </c>
      <c r="B16" s="23" t="s">
        <v>346</v>
      </c>
      <c r="C16" s="17">
        <f>COUNT(D16:H16)</f>
        <v>2</v>
      </c>
      <c r="D16" s="26" t="str">
        <f>IFERROR(VLOOKUP($B16,ODCC!S:T,2,FALSE),"")</f>
        <v/>
      </c>
      <c r="E16" s="187">
        <f>IFERROR(VLOOKUP($B16,Elmira!V:W,2,FALSE),"")</f>
        <v>29</v>
      </c>
      <c r="F16" s="187" t="str">
        <f>IFERROR(VLOOKUP($B16,Chatham!N:O,2,FALSE),"")</f>
        <v/>
      </c>
      <c r="G16" s="187" t="str">
        <f>IFERROR(VLOOKUP($B16,London!AH:AI,2,FALSE),"")</f>
        <v/>
      </c>
      <c r="H16" s="31">
        <f>IFERROR(VLOOKUP($B16,'Ontario Singles'!D:E,2,FALSE),"")</f>
        <v>43</v>
      </c>
      <c r="I16" s="10"/>
      <c r="J16" s="19">
        <f>IFERROR(LARGE(D16:H16,1),0)+IFERROR(LARGE(D16:H16,2),0)+IFERROR(LARGE(D16:H16,3),0)</f>
        <v>72</v>
      </c>
      <c r="K16" s="20">
        <f>SUM(D16:H16)/C16</f>
        <v>36</v>
      </c>
      <c r="L16" s="21"/>
      <c r="M16" s="2"/>
      <c r="N16" s="2"/>
      <c r="O16" s="22"/>
      <c r="P16" s="34"/>
      <c r="Q16" s="22"/>
      <c r="R16" s="10"/>
    </row>
    <row r="17" spans="1:23" s="8" customFormat="1" ht="18.75" customHeight="1" thickBot="1">
      <c r="A17" s="15">
        <f>RANK(J17,J$5:J$179)</f>
        <v>13</v>
      </c>
      <c r="B17" s="23" t="s">
        <v>403</v>
      </c>
      <c r="C17" s="17">
        <f>COUNT(D17:H17)</f>
        <v>2</v>
      </c>
      <c r="D17" s="26" t="str">
        <f>IFERROR(VLOOKUP($B17,ODCC!S:T,2,FALSE),"")</f>
        <v/>
      </c>
      <c r="E17" s="187" t="str">
        <f>IFERROR(VLOOKUP($B17,Elmira!V:W,2,FALSE),"")</f>
        <v/>
      </c>
      <c r="F17" s="187">
        <f>IFERROR(VLOOKUP($B17,Chatham!N:O,2,FALSE),"")</f>
        <v>34</v>
      </c>
      <c r="G17" s="187">
        <f>IFERROR(VLOOKUP($B17,London!AH:AI,2,FALSE),"")</f>
        <v>37</v>
      </c>
      <c r="H17" s="31" t="str">
        <f>IFERROR(VLOOKUP($B17,'Ontario Singles'!D:E,2,FALSE),"")</f>
        <v/>
      </c>
      <c r="I17" s="10"/>
      <c r="J17" s="19">
        <f>IFERROR(LARGE(D17:H17,1),0)+IFERROR(LARGE(D17:H17,2),0)+IFERROR(LARGE(D17:H17,3),0)</f>
        <v>71</v>
      </c>
      <c r="K17" s="20">
        <f>SUM(D17:H17)/C17</f>
        <v>35.5</v>
      </c>
      <c r="M17" s="2"/>
      <c r="N17" s="2"/>
      <c r="O17" s="22"/>
      <c r="P17" s="2"/>
      <c r="Q17" s="10"/>
      <c r="R17" s="10"/>
    </row>
    <row r="18" spans="1:23" s="8" customFormat="1" ht="18.75" customHeight="1" thickBot="1">
      <c r="A18" s="15">
        <f>RANK(J18,J$5:J$179)</f>
        <v>14</v>
      </c>
      <c r="B18" s="23" t="s">
        <v>136</v>
      </c>
      <c r="C18" s="17">
        <f>COUNT(D18:H18)</f>
        <v>2</v>
      </c>
      <c r="D18" s="26" t="str">
        <f>IFERROR(VLOOKUP($B18,ODCC!S:T,2,FALSE),"")</f>
        <v/>
      </c>
      <c r="E18" s="187">
        <f>IFERROR(VLOOKUP($B18,Elmira!V:W,2,FALSE),"")</f>
        <v>35</v>
      </c>
      <c r="F18" s="187" t="str">
        <f>IFERROR(VLOOKUP($B18,Chatham!N:O,2,FALSE),"")</f>
        <v/>
      </c>
      <c r="G18" s="187" t="str">
        <f>IFERROR(VLOOKUP($B18,London!AH:AI,2,FALSE),"")</f>
        <v/>
      </c>
      <c r="H18" s="31">
        <f>IFERROR(VLOOKUP($B18,'Ontario Singles'!D:E,2,FALSE),"")</f>
        <v>34</v>
      </c>
      <c r="I18" s="10"/>
      <c r="J18" s="19">
        <f>IFERROR(LARGE(D18:H18,1),0)+IFERROR(LARGE(D18:H18,2),0)+IFERROR(LARGE(D18:H18,3),0)</f>
        <v>69</v>
      </c>
      <c r="K18" s="20">
        <f>SUM(D18:H18)/C18</f>
        <v>34.5</v>
      </c>
      <c r="L18" s="21"/>
      <c r="M18" s="2"/>
      <c r="O18" s="27"/>
      <c r="P18" s="10"/>
      <c r="Q18" s="22"/>
      <c r="R18" s="10"/>
    </row>
    <row r="19" spans="1:23" s="8" customFormat="1" ht="18.75" customHeight="1" thickBot="1">
      <c r="A19" s="15">
        <f>RANK(J19,J$5:J$179)</f>
        <v>15</v>
      </c>
      <c r="B19" s="23" t="s">
        <v>339</v>
      </c>
      <c r="C19" s="17">
        <f>COUNT(D19:H19)</f>
        <v>2</v>
      </c>
      <c r="D19" s="26" t="str">
        <f>IFERROR(VLOOKUP($B19,ODCC!S:T,2,FALSE),"")</f>
        <v/>
      </c>
      <c r="E19" s="187">
        <f>IFERROR(VLOOKUP($B19,Elmira!V:W,2,FALSE),"")</f>
        <v>36</v>
      </c>
      <c r="F19" s="187" t="str">
        <f>IFERROR(VLOOKUP($B19,Chatham!N:O,2,FALSE),"")</f>
        <v/>
      </c>
      <c r="G19" s="187" t="str">
        <f>IFERROR(VLOOKUP($B19,London!AH:AI,2,FALSE),"")</f>
        <v/>
      </c>
      <c r="H19" s="31">
        <f>IFERROR(VLOOKUP($B19,'Ontario Singles'!D:E,2,FALSE),"")</f>
        <v>32</v>
      </c>
      <c r="I19" s="28"/>
      <c r="J19" s="19">
        <f>IFERROR(LARGE(D19:H19,1),0)+IFERROR(LARGE(D19:H19,2),0)+IFERROR(LARGE(D19:H19,3),0)</f>
        <v>68</v>
      </c>
      <c r="K19" s="20">
        <f>SUM(D19:H19)/C19</f>
        <v>34</v>
      </c>
      <c r="M19" s="2"/>
      <c r="N19" s="2"/>
      <c r="O19" s="22"/>
      <c r="P19" s="2"/>
      <c r="Q19" s="10"/>
      <c r="R19" s="10"/>
    </row>
    <row r="20" spans="1:23" s="8" customFormat="1" ht="18.75" customHeight="1" thickBot="1">
      <c r="A20" s="15">
        <f>RANK(J20,J$5:J$179)</f>
        <v>15</v>
      </c>
      <c r="B20" s="23" t="s">
        <v>352</v>
      </c>
      <c r="C20" s="17">
        <f>COUNT(D20:H20)</f>
        <v>2</v>
      </c>
      <c r="D20" s="26" t="str">
        <f>IFERROR(VLOOKUP($B20,ODCC!S:T,2,FALSE),"")</f>
        <v/>
      </c>
      <c r="E20" s="187">
        <f>IFERROR(VLOOKUP($B20,Elmira!V:W,2,FALSE),"")</f>
        <v>33</v>
      </c>
      <c r="F20" s="187" t="str">
        <f>IFERROR(VLOOKUP($B20,Chatham!N:O,2,FALSE),"")</f>
        <v/>
      </c>
      <c r="G20" s="187" t="str">
        <f>IFERROR(VLOOKUP($B20,London!AH:AI,2,FALSE),"")</f>
        <v/>
      </c>
      <c r="H20" s="31">
        <f>IFERROR(VLOOKUP($B20,'Ontario Singles'!D:E,2,FALSE),"")</f>
        <v>35</v>
      </c>
      <c r="I20" s="30"/>
      <c r="J20" s="19">
        <f>IFERROR(LARGE(D20:H20,1),0)+IFERROR(LARGE(D20:H20,2),0)+IFERROR(LARGE(D20:H20,3),0)</f>
        <v>68</v>
      </c>
      <c r="K20" s="20">
        <f>SUM(D20:H20)/C20</f>
        <v>34</v>
      </c>
      <c r="L20" s="21"/>
      <c r="P20" s="5"/>
    </row>
    <row r="21" spans="1:23" s="8" customFormat="1" ht="18.75" customHeight="1" thickBot="1">
      <c r="A21" s="15">
        <f>RANK(J21,J$5:J$179)</f>
        <v>17</v>
      </c>
      <c r="B21" s="23" t="s">
        <v>400</v>
      </c>
      <c r="C21" s="17">
        <f>COUNT(D21:H21)</f>
        <v>2</v>
      </c>
      <c r="D21" s="26" t="str">
        <f>IFERROR(VLOOKUP($B21,ODCC!S:T,2,FALSE),"")</f>
        <v/>
      </c>
      <c r="E21" s="187" t="str">
        <f>IFERROR(VLOOKUP($B21,Elmira!V:W,2,FALSE),"")</f>
        <v/>
      </c>
      <c r="F21" s="187">
        <f>IFERROR(VLOOKUP($B21,Chatham!N:O,2,FALSE),"")</f>
        <v>36</v>
      </c>
      <c r="G21" s="187">
        <f>IFERROR(VLOOKUP($B21,London!AH:AI,2,FALSE),"")</f>
        <v>30</v>
      </c>
      <c r="H21" s="31" t="str">
        <f>IFERROR(VLOOKUP($B21,'Ontario Singles'!D:E,2,FALSE),"")</f>
        <v/>
      </c>
      <c r="I21" s="30"/>
      <c r="J21" s="19">
        <f>IFERROR(LARGE(D21:H21,1),0)+IFERROR(LARGE(D21:H21,2),0)+IFERROR(LARGE(D21:H21,3),0)</f>
        <v>66</v>
      </c>
      <c r="K21" s="20">
        <f>SUM(D21:H21)/C21</f>
        <v>33</v>
      </c>
      <c r="L21" s="21"/>
      <c r="O21" s="10"/>
      <c r="P21" s="28"/>
      <c r="Q21" s="29"/>
      <c r="R21" s="10"/>
    </row>
    <row r="22" spans="1:23" s="8" customFormat="1" ht="18.75" customHeight="1" thickBot="1">
      <c r="A22" s="15">
        <f>RANK(J22,J$5:J$179)</f>
        <v>18</v>
      </c>
      <c r="B22" s="23" t="s">
        <v>411</v>
      </c>
      <c r="C22" s="17">
        <f>COUNT(D22:H22)</f>
        <v>2</v>
      </c>
      <c r="D22" s="26" t="str">
        <f>IFERROR(VLOOKUP($B22,ODCC!S:T,2,FALSE),"")</f>
        <v/>
      </c>
      <c r="E22" s="187" t="str">
        <f>IFERROR(VLOOKUP($B22,Elmira!V:W,2,FALSE),"")</f>
        <v/>
      </c>
      <c r="F22" s="187">
        <f>IFERROR(VLOOKUP($B22,Chatham!N:O,2,FALSE),"")</f>
        <v>29</v>
      </c>
      <c r="G22" s="187">
        <f>IFERROR(VLOOKUP($B22,London!AH:AI,2,FALSE),"")</f>
        <v>35</v>
      </c>
      <c r="H22" s="31" t="str">
        <f>IFERROR(VLOOKUP($B22,'Ontario Singles'!D:E,2,FALSE),"")</f>
        <v/>
      </c>
      <c r="I22" s="10"/>
      <c r="J22" s="19">
        <f>IFERROR(LARGE(D22:H22,1),0)+IFERROR(LARGE(D22:H22,2),0)+IFERROR(LARGE(D22:H22,3),0)</f>
        <v>64</v>
      </c>
      <c r="K22" s="20">
        <f>SUM(D22:H22)/C22</f>
        <v>32</v>
      </c>
      <c r="M22" s="2"/>
      <c r="N22" s="2"/>
      <c r="O22" s="36"/>
      <c r="P22" s="5"/>
    </row>
    <row r="23" spans="1:23" s="8" customFormat="1" ht="18.75" customHeight="1" thickBot="1">
      <c r="A23" s="15">
        <f>RANK(J23,J$5:J$179)</f>
        <v>19</v>
      </c>
      <c r="B23" s="23" t="s">
        <v>48</v>
      </c>
      <c r="C23" s="17">
        <f>COUNT(D23:H23)</f>
        <v>2</v>
      </c>
      <c r="D23" s="26" t="str">
        <f>IFERROR(VLOOKUP($B23,ODCC!S:T,2,FALSE),"")</f>
        <v/>
      </c>
      <c r="E23" s="187">
        <f>IFERROR(VLOOKUP($B23,Elmira!V:W,2,FALSE),"")</f>
        <v>32</v>
      </c>
      <c r="F23" s="187" t="str">
        <f>IFERROR(VLOOKUP($B23,Chatham!N:O,2,FALSE),"")</f>
        <v/>
      </c>
      <c r="G23" s="187" t="str">
        <f>IFERROR(VLOOKUP($B23,London!AH:AI,2,FALSE),"")</f>
        <v/>
      </c>
      <c r="H23" s="31">
        <f>IFERROR(VLOOKUP($B23,'Ontario Singles'!D:E,2,FALSE),"")</f>
        <v>30</v>
      </c>
      <c r="I23" s="10"/>
      <c r="J23" s="19">
        <f>IFERROR(LARGE(D23:H23,1),0)+IFERROR(LARGE(D23:H23,2),0)+IFERROR(LARGE(D23:H23,3),0)</f>
        <v>62</v>
      </c>
      <c r="K23" s="20">
        <f>SUM(D23:H23)/C23</f>
        <v>31</v>
      </c>
      <c r="L23" s="21"/>
      <c r="M23" s="2"/>
      <c r="N23" s="2"/>
      <c r="O23" s="22"/>
      <c r="P23" s="34"/>
      <c r="Q23" s="22"/>
      <c r="R23" s="10"/>
    </row>
    <row r="24" spans="1:23" s="8" customFormat="1" ht="18.75" customHeight="1" thickBot="1">
      <c r="A24" s="15">
        <f>RANK(J24,J$5:J$179)</f>
        <v>20</v>
      </c>
      <c r="B24" s="23" t="s">
        <v>349</v>
      </c>
      <c r="C24" s="17">
        <f>COUNT(D24:H24)</f>
        <v>2</v>
      </c>
      <c r="D24" s="26" t="str">
        <f>IFERROR(VLOOKUP($B24,ODCC!S:T,2,FALSE),"")</f>
        <v/>
      </c>
      <c r="E24" s="187">
        <f>IFERROR(VLOOKUP($B24,Elmira!V:W,2,FALSE),"")</f>
        <v>28</v>
      </c>
      <c r="F24" s="187" t="str">
        <f>IFERROR(VLOOKUP($B24,Chatham!N:O,2,FALSE),"")</f>
        <v/>
      </c>
      <c r="G24" s="187" t="str">
        <f>IFERROR(VLOOKUP($B24,London!AH:AI,2,FALSE),"")</f>
        <v/>
      </c>
      <c r="H24" s="31">
        <f>IFERROR(VLOOKUP($B24,'Ontario Singles'!D:E,2,FALSE),"")</f>
        <v>26</v>
      </c>
      <c r="I24" s="10"/>
      <c r="J24" s="19">
        <f>IFERROR(LARGE(D24:H24,1),0)+IFERROR(LARGE(D24:H24,2),0)+IFERROR(LARGE(D24:H24,3),0)</f>
        <v>54</v>
      </c>
      <c r="K24" s="20">
        <f>SUM(D24:H24)/C24</f>
        <v>27</v>
      </c>
      <c r="M24" s="2"/>
      <c r="N24" s="2"/>
      <c r="O24" s="22"/>
      <c r="P24" s="28"/>
      <c r="Q24" s="22"/>
      <c r="R24" s="10"/>
    </row>
    <row r="25" spans="1:23" s="8" customFormat="1" ht="18.75" customHeight="1" thickBot="1">
      <c r="A25" s="15">
        <f>RANK(J25,J$5:J$179)</f>
        <v>21</v>
      </c>
      <c r="B25" s="23" t="s">
        <v>286</v>
      </c>
      <c r="C25" s="17">
        <f>COUNT(D25:H25)</f>
        <v>1</v>
      </c>
      <c r="D25" s="26">
        <f>IFERROR(VLOOKUP($B25,ODCC!S:T,2,FALSE),"")</f>
        <v>50</v>
      </c>
      <c r="E25" s="187" t="str">
        <f>IFERROR(VLOOKUP($B25,Elmira!V:W,2,FALSE),"")</f>
        <v/>
      </c>
      <c r="F25" s="187" t="str">
        <f>IFERROR(VLOOKUP($B25,Chatham!N:O,2,FALSE),"")</f>
        <v/>
      </c>
      <c r="G25" s="187" t="str">
        <f>IFERROR(VLOOKUP($B25,London!AH:AI,2,FALSE),"")</f>
        <v/>
      </c>
      <c r="H25" s="31" t="str">
        <f>IFERROR(VLOOKUP($B25,'Ontario Singles'!D:E,2,FALSE),"")</f>
        <v/>
      </c>
      <c r="I25" s="10"/>
      <c r="J25" s="19">
        <f>IFERROR(LARGE(D25:H25,1),0)+IFERROR(LARGE(D25:H25,2),0)+IFERROR(LARGE(D25:H25,3),0)</f>
        <v>50</v>
      </c>
      <c r="K25" s="20">
        <f>SUM(D25:H25)/C25</f>
        <v>50</v>
      </c>
      <c r="L25" s="21"/>
      <c r="O25" s="22"/>
    </row>
    <row r="26" spans="1:23" s="8" customFormat="1" ht="18.75" customHeight="1" thickBot="1">
      <c r="A26" s="15">
        <f>RANK(J26,J$5:J$179)</f>
        <v>21</v>
      </c>
      <c r="B26" s="23" t="s">
        <v>287</v>
      </c>
      <c r="C26" s="17">
        <f>COUNT(D26:H26)</f>
        <v>1</v>
      </c>
      <c r="D26" s="26">
        <f>IFERROR(VLOOKUP($B26,ODCC!S:T,2,FALSE),"")</f>
        <v>50</v>
      </c>
      <c r="E26" s="187" t="str">
        <f>IFERROR(VLOOKUP($B26,Elmira!V:W,2,FALSE),"")</f>
        <v/>
      </c>
      <c r="F26" s="187" t="str">
        <f>IFERROR(VLOOKUP($B26,Chatham!N:O,2,FALSE),"")</f>
        <v/>
      </c>
      <c r="G26" s="187" t="str">
        <f>IFERROR(VLOOKUP($B26,London!AH:AI,2,FALSE),"")</f>
        <v/>
      </c>
      <c r="H26" s="31" t="str">
        <f>IFERROR(VLOOKUP($B26,'Ontario Singles'!D:E,2,FALSE),"")</f>
        <v/>
      </c>
      <c r="I26" s="10"/>
      <c r="J26" s="19">
        <f>IFERROR(LARGE(D26:H26,1),0)+IFERROR(LARGE(D26:H26,2),0)+IFERROR(LARGE(D26:H26,3),0)</f>
        <v>50</v>
      </c>
      <c r="K26" s="20">
        <f>SUM(D26:H26)/C26</f>
        <v>50</v>
      </c>
      <c r="L26" s="21"/>
      <c r="M26" s="10"/>
      <c r="N26" s="35"/>
      <c r="O26" s="10"/>
      <c r="P26" s="10"/>
      <c r="Q26" s="10"/>
      <c r="R26" s="10"/>
      <c r="S26" s="10"/>
      <c r="T26" s="10"/>
      <c r="U26" s="10"/>
      <c r="V26" s="10"/>
      <c r="W26" s="10"/>
    </row>
    <row r="27" spans="1:23" s="8" customFormat="1" ht="18.75" customHeight="1" thickBot="1">
      <c r="A27" s="15">
        <f>RANK(J27,J$5:J$179)</f>
        <v>21</v>
      </c>
      <c r="B27" s="23" t="s">
        <v>44</v>
      </c>
      <c r="C27" s="17">
        <f>COUNT(D27:H27)</f>
        <v>1</v>
      </c>
      <c r="D27" s="26" t="str">
        <f>IFERROR(VLOOKUP($B27,ODCC!S:T,2,FALSE),"")</f>
        <v/>
      </c>
      <c r="E27" s="187" t="str">
        <f>IFERROR(VLOOKUP($B27,Elmira!V:W,2,FALSE),"")</f>
        <v/>
      </c>
      <c r="F27" s="187" t="str">
        <f>IFERROR(VLOOKUP($B27,Chatham!N:O,2,FALSE),"")</f>
        <v/>
      </c>
      <c r="G27" s="187" t="str">
        <f>IFERROR(VLOOKUP($B27,London!AH:AI,2,FALSE),"")</f>
        <v/>
      </c>
      <c r="H27" s="31">
        <f>IFERROR(VLOOKUP($B27,'Ontario Singles'!D:E,2,FALSE),"")</f>
        <v>50</v>
      </c>
      <c r="I27" s="10"/>
      <c r="J27" s="19">
        <f>IFERROR(LARGE(D27:H27,1),0)+IFERROR(LARGE(D27:H27,2),0)+IFERROR(LARGE(D27:H27,3),0)</f>
        <v>50</v>
      </c>
      <c r="K27" s="20">
        <f>SUM(D27:H27)/C27</f>
        <v>50</v>
      </c>
      <c r="L27" s="21"/>
      <c r="M27" s="2"/>
      <c r="N27" s="2"/>
      <c r="O27" s="22"/>
      <c r="P27" s="2"/>
      <c r="Q27" s="10"/>
      <c r="R27" s="10"/>
    </row>
    <row r="28" spans="1:23" s="8" customFormat="1" ht="18.75" customHeight="1" thickBot="1">
      <c r="A28" s="15">
        <f>RANK(J28,J$5:J$179)</f>
        <v>24</v>
      </c>
      <c r="B28" s="23" t="s">
        <v>405</v>
      </c>
      <c r="C28" s="17">
        <f>COUNT(D28:H28)</f>
        <v>2</v>
      </c>
      <c r="D28" s="26" t="str">
        <f>IFERROR(VLOOKUP($B28,ODCC!S:T,2,FALSE),"")</f>
        <v/>
      </c>
      <c r="E28" s="187" t="str">
        <f>IFERROR(VLOOKUP($B28,Elmira!V:W,2,FALSE),"")</f>
        <v/>
      </c>
      <c r="F28" s="187">
        <f>IFERROR(VLOOKUP($B28,Chatham!N:O,2,FALSE),"")</f>
        <v>28</v>
      </c>
      <c r="G28" s="187">
        <f>IFERROR(VLOOKUP($B28,London!AH:AI,2,FALSE),"")</f>
        <v>20</v>
      </c>
      <c r="H28" s="31" t="str">
        <f>IFERROR(VLOOKUP($B28,'Ontario Singles'!D:E,2,FALSE),"")</f>
        <v/>
      </c>
      <c r="I28" s="10"/>
      <c r="J28" s="19">
        <f>IFERROR(LARGE(D28:H28,1),0)+IFERROR(LARGE(D28:H28,2),0)+IFERROR(LARGE(D28:H28,3),0)</f>
        <v>48</v>
      </c>
      <c r="K28" s="20">
        <f>SUM(D28:H28)/C28</f>
        <v>24</v>
      </c>
      <c r="M28" s="2"/>
      <c r="N28" s="2"/>
      <c r="O28" s="22"/>
      <c r="P28" s="2"/>
      <c r="Q28" s="10"/>
      <c r="R28" s="10"/>
    </row>
    <row r="29" spans="1:23" s="8" customFormat="1" ht="18.75" customHeight="1" thickBot="1">
      <c r="A29" s="15">
        <f>RANK(J29,J$5:J$179)</f>
        <v>25</v>
      </c>
      <c r="B29" s="23" t="s">
        <v>333</v>
      </c>
      <c r="C29" s="17">
        <f>COUNT(D29:H29)</f>
        <v>1</v>
      </c>
      <c r="D29" s="26" t="str">
        <f>IFERROR(VLOOKUP($B29,ODCC!S:T,2,FALSE),"")</f>
        <v/>
      </c>
      <c r="E29" s="187">
        <f>IFERROR(VLOOKUP($B29,Elmira!V:W,2,FALSE),"")</f>
        <v>47</v>
      </c>
      <c r="F29" s="187" t="str">
        <f>IFERROR(VLOOKUP($B29,Chatham!N:O,2,FALSE),"")</f>
        <v/>
      </c>
      <c r="G29" s="187" t="str">
        <f>IFERROR(VLOOKUP($B29,London!AH:AI,2,FALSE),"")</f>
        <v/>
      </c>
      <c r="H29" s="31" t="str">
        <f>IFERROR(VLOOKUP($B29,'Ontario Singles'!D:E,2,FALSE),"")</f>
        <v/>
      </c>
      <c r="I29" s="10"/>
      <c r="J29" s="19">
        <f>IFERROR(LARGE(D29:H29,1),0)+IFERROR(LARGE(D29:H29,2),0)+IFERROR(LARGE(D29:H29,3),0)</f>
        <v>47</v>
      </c>
      <c r="K29" s="20">
        <f>SUM(D29:H29)/C29</f>
        <v>47</v>
      </c>
      <c r="L29" s="21"/>
      <c r="M29" s="2"/>
      <c r="N29" s="2"/>
      <c r="O29" s="22"/>
      <c r="P29" s="34"/>
      <c r="Q29" s="22"/>
      <c r="R29" s="10"/>
    </row>
    <row r="30" spans="1:23" s="8" customFormat="1" ht="18.75" customHeight="1" thickBot="1">
      <c r="A30" s="15">
        <f>RANK(J30,J$5:J$179)</f>
        <v>25</v>
      </c>
      <c r="B30" s="23" t="s">
        <v>536</v>
      </c>
      <c r="C30" s="17">
        <f>COUNT(D30:H30)</f>
        <v>1</v>
      </c>
      <c r="D30" s="26" t="str">
        <f>IFERROR(VLOOKUP($B30,ODCC!S:T,2,FALSE),"")</f>
        <v/>
      </c>
      <c r="E30" s="187" t="str">
        <f>IFERROR(VLOOKUP($B30,Elmira!V:W,2,FALSE),"")</f>
        <v/>
      </c>
      <c r="F30" s="187" t="str">
        <f>IFERROR(VLOOKUP($B30,Chatham!N:O,2,FALSE),"")</f>
        <v/>
      </c>
      <c r="G30" s="187" t="str">
        <f>IFERROR(VLOOKUP($B30,London!AH:AI,2,FALSE),"")</f>
        <v/>
      </c>
      <c r="H30" s="31">
        <f>IFERROR(VLOOKUP($B30,'Ontario Singles'!D:E,2,FALSE),"")</f>
        <v>47</v>
      </c>
      <c r="I30" s="30"/>
      <c r="J30" s="19">
        <f>IFERROR(LARGE(D30:H30,1),0)+IFERROR(LARGE(D30:H30,2),0)+IFERROR(LARGE(D30:H30,3),0)</f>
        <v>47</v>
      </c>
      <c r="K30" s="20">
        <f>SUM(D30:H30)/C30</f>
        <v>47</v>
      </c>
      <c r="M30" s="2"/>
      <c r="N30" s="2"/>
      <c r="O30" s="22"/>
      <c r="P30" s="2"/>
      <c r="Q30" s="10"/>
      <c r="R30" s="10"/>
    </row>
    <row r="31" spans="1:23" s="8" customFormat="1" ht="18.75" customHeight="1" thickBot="1">
      <c r="A31" s="15">
        <f>RANK(J31,J$5:J$179)</f>
        <v>27</v>
      </c>
      <c r="B31" s="23" t="s">
        <v>288</v>
      </c>
      <c r="C31" s="17">
        <f>COUNT(D31:H31)</f>
        <v>1</v>
      </c>
      <c r="D31" s="26">
        <f>IFERROR(VLOOKUP($B31,ODCC!S:T,2,FALSE),"")</f>
        <v>45</v>
      </c>
      <c r="E31" s="187" t="str">
        <f>IFERROR(VLOOKUP($B31,Elmira!V:W,2,FALSE),"")</f>
        <v/>
      </c>
      <c r="F31" s="187" t="str">
        <f>IFERROR(VLOOKUP($B31,Chatham!N:O,2,FALSE),"")</f>
        <v/>
      </c>
      <c r="G31" s="187" t="str">
        <f>IFERROR(VLOOKUP($B31,London!AH:AI,2,FALSE),"")</f>
        <v/>
      </c>
      <c r="H31" s="31" t="str">
        <f>IFERROR(VLOOKUP($B31,'Ontario Singles'!D:E,2,FALSE),"")</f>
        <v/>
      </c>
      <c r="I31" s="30"/>
      <c r="J31" s="19">
        <f>IFERROR(LARGE(D31:H31,1),0)+IFERROR(LARGE(D31:H31,2),0)+IFERROR(LARGE(D31:H31,3),0)</f>
        <v>45</v>
      </c>
      <c r="K31" s="20">
        <f>SUM(D31:H31)/C31</f>
        <v>45</v>
      </c>
      <c r="L31" s="21"/>
      <c r="M31" s="2"/>
      <c r="N31" s="10"/>
      <c r="O31" s="27"/>
      <c r="P31" s="10"/>
      <c r="Q31" s="22"/>
      <c r="R31" s="10"/>
    </row>
    <row r="32" spans="1:23" s="8" customFormat="1" ht="18.75" customHeight="1" thickBot="1">
      <c r="A32" s="15">
        <f>RANK(J32,J$5:J$179)</f>
        <v>27</v>
      </c>
      <c r="B32" s="23" t="s">
        <v>394</v>
      </c>
      <c r="C32" s="17">
        <f>COUNT(D32:H32)</f>
        <v>1</v>
      </c>
      <c r="D32" s="26" t="str">
        <f>IFERROR(VLOOKUP($B32,ODCC!S:T,2,FALSE),"")</f>
        <v/>
      </c>
      <c r="E32" s="187" t="str">
        <f>IFERROR(VLOOKUP($B32,Elmira!V:W,2,FALSE),"")</f>
        <v/>
      </c>
      <c r="F32" s="187">
        <f>IFERROR(VLOOKUP($B32,Chatham!N:O,2,FALSE),"")</f>
        <v>45</v>
      </c>
      <c r="G32" s="187" t="str">
        <f>IFERROR(VLOOKUP($B32,London!AH:AI,2,FALSE),"")</f>
        <v/>
      </c>
      <c r="H32" s="31" t="str">
        <f>IFERROR(VLOOKUP($B32,'Ontario Singles'!D:E,2,FALSE),"")</f>
        <v/>
      </c>
      <c r="I32" s="30"/>
      <c r="J32" s="19">
        <f>IFERROR(LARGE(D32:H32,1),0)+IFERROR(LARGE(D32:H32,2),0)+IFERROR(LARGE(D32:H32,3),0)</f>
        <v>45</v>
      </c>
      <c r="K32" s="20">
        <f>SUM(D32:H32)/C32</f>
        <v>45</v>
      </c>
      <c r="L32" s="21"/>
      <c r="M32" s="2"/>
      <c r="N32" s="2"/>
      <c r="O32" s="22"/>
      <c r="P32" s="34"/>
      <c r="Q32" s="22"/>
      <c r="R32" s="10"/>
    </row>
    <row r="33" spans="1:23" s="8" customFormat="1" ht="18.75" customHeight="1" thickBot="1">
      <c r="A33" s="15">
        <f>RANK(J33,J$5:J$179)</f>
        <v>27</v>
      </c>
      <c r="B33" s="23" t="s">
        <v>410</v>
      </c>
      <c r="C33" s="17">
        <f>COUNT(D33:H33)</f>
        <v>2</v>
      </c>
      <c r="D33" s="26" t="str">
        <f>IFERROR(VLOOKUP($B33,ODCC!S:T,2,FALSE),"")</f>
        <v/>
      </c>
      <c r="E33" s="187" t="str">
        <f>IFERROR(VLOOKUP($B33,Elmira!V:W,2,FALSE),"")</f>
        <v/>
      </c>
      <c r="F33" s="187">
        <f>IFERROR(VLOOKUP($B33,Chatham!N:O,2,FALSE),"")</f>
        <v>25</v>
      </c>
      <c r="G33" s="187">
        <f>IFERROR(VLOOKUP($B33,London!AH:AI,2,FALSE),"")</f>
        <v>20</v>
      </c>
      <c r="H33" s="31" t="str">
        <f>IFERROR(VLOOKUP($B33,'Ontario Singles'!D:E,2,FALSE),"")</f>
        <v/>
      </c>
      <c r="I33" s="30"/>
      <c r="J33" s="19">
        <f>IFERROR(LARGE(D33:H33,1),0)+IFERROR(LARGE(D33:H33,2),0)+IFERROR(LARGE(D33:H33,3),0)</f>
        <v>45</v>
      </c>
      <c r="K33" s="20">
        <f>SUM(D33:H33)/C33</f>
        <v>22.5</v>
      </c>
      <c r="L33" s="21"/>
      <c r="M33" s="2"/>
      <c r="N33" s="2"/>
      <c r="O33" s="36"/>
      <c r="P33" s="5"/>
    </row>
    <row r="34" spans="1:23" s="8" customFormat="1" ht="18.75" customHeight="1" thickBot="1">
      <c r="A34" s="15">
        <f>RANK(J34,J$5:J$179)</f>
        <v>27</v>
      </c>
      <c r="B34" s="23" t="s">
        <v>449</v>
      </c>
      <c r="C34" s="17">
        <f>COUNT(D34:H34)</f>
        <v>1</v>
      </c>
      <c r="D34" s="26" t="str">
        <f>IFERROR(VLOOKUP($B34,ODCC!S:T,2,FALSE),"")</f>
        <v/>
      </c>
      <c r="E34" s="187" t="str">
        <f>IFERROR(VLOOKUP($B34,Elmira!V:W,2,FALSE),"")</f>
        <v/>
      </c>
      <c r="F34" s="187" t="str">
        <f>IFERROR(VLOOKUP($B34,Chatham!N:O,2,FALSE),"")</f>
        <v/>
      </c>
      <c r="G34" s="187">
        <f>IFERROR(VLOOKUP($B34,London!AH:AI,2,FALSE),"")</f>
        <v>45</v>
      </c>
      <c r="H34" s="31" t="str">
        <f>IFERROR(VLOOKUP($B34,'Ontario Singles'!D:E,2,FALSE),"")</f>
        <v/>
      </c>
      <c r="I34" s="30"/>
      <c r="J34" s="19">
        <f>IFERROR(LARGE(D34:H34,1),0)+IFERROR(LARGE(D34:H34,2),0)+IFERROR(LARGE(D34:H34,3),0)</f>
        <v>45</v>
      </c>
      <c r="K34" s="20">
        <f>SUM(D34:H34)/C34</f>
        <v>45</v>
      </c>
      <c r="L34" s="21"/>
      <c r="M34" s="2"/>
      <c r="N34" s="2"/>
      <c r="O34" s="22"/>
      <c r="P34" s="5"/>
      <c r="R34" s="32"/>
      <c r="S34" s="32"/>
      <c r="T34" s="32"/>
      <c r="U34" s="22"/>
    </row>
    <row r="35" spans="1:23" s="8" customFormat="1" ht="18.75" customHeight="1" thickBot="1">
      <c r="A35" s="15">
        <f>RANK(J35,J$5:J$179)</f>
        <v>31</v>
      </c>
      <c r="B35" s="23" t="s">
        <v>406</v>
      </c>
      <c r="C35" s="17">
        <f>COUNT(D35:H35)</f>
        <v>2</v>
      </c>
      <c r="D35" s="26" t="str">
        <f>IFERROR(VLOOKUP($B35,ODCC!S:T,2,FALSE),"")</f>
        <v/>
      </c>
      <c r="E35" s="187" t="str">
        <f>IFERROR(VLOOKUP($B35,Elmira!V:W,2,FALSE),"")</f>
        <v/>
      </c>
      <c r="F35" s="187">
        <f>IFERROR(VLOOKUP($B35,Chatham!N:O,2,FALSE),"")</f>
        <v>24</v>
      </c>
      <c r="G35" s="187">
        <f>IFERROR(VLOOKUP($B35,London!AH:AI,2,FALSE),"")</f>
        <v>20</v>
      </c>
      <c r="H35" s="31" t="str">
        <f>IFERROR(VLOOKUP($B35,'Ontario Singles'!D:E,2,FALSE),"")</f>
        <v/>
      </c>
      <c r="I35" s="30"/>
      <c r="J35" s="19">
        <f>IFERROR(LARGE(D35:H35,1),0)+IFERROR(LARGE(D35:H35,2),0)+IFERROR(LARGE(D35:H35,3),0)</f>
        <v>44</v>
      </c>
      <c r="K35" s="20">
        <f>SUM(D35:H35)/C35</f>
        <v>22</v>
      </c>
      <c r="L35" s="21"/>
      <c r="M35" s="2"/>
      <c r="N35" s="2"/>
      <c r="O35" s="36"/>
      <c r="P35" s="10"/>
      <c r="Q35" s="36"/>
      <c r="R35" s="10"/>
    </row>
    <row r="36" spans="1:23" s="8" customFormat="1" ht="18.75" customHeight="1" thickBot="1">
      <c r="A36" s="15">
        <f>RANK(J36,J$5:J$179)</f>
        <v>31</v>
      </c>
      <c r="B36" s="23" t="s">
        <v>457</v>
      </c>
      <c r="C36" s="17">
        <f>COUNT(D36:H36)</f>
        <v>2</v>
      </c>
      <c r="D36" s="26" t="str">
        <f>IFERROR(VLOOKUP($B36,ODCC!S:T,2,FALSE),"")</f>
        <v/>
      </c>
      <c r="E36" s="187" t="str">
        <f>IFERROR(VLOOKUP($B36,Elmira!V:W,2,FALSE),"")</f>
        <v/>
      </c>
      <c r="F36" s="187" t="str">
        <f>IFERROR(VLOOKUP($B36,Chatham!N:O,2,FALSE),"")</f>
        <v/>
      </c>
      <c r="G36" s="187">
        <f>IFERROR(VLOOKUP($B36,London!AH:AI,2,FALSE),"")</f>
        <v>20</v>
      </c>
      <c r="H36" s="31">
        <f>IFERROR(VLOOKUP($B36,'Ontario Singles'!D:E,2,FALSE),"")</f>
        <v>24</v>
      </c>
      <c r="I36" s="30"/>
      <c r="J36" s="19">
        <f>IFERROR(LARGE(D36:H36,1),0)+IFERROR(LARGE(D36:H36,2),0)+IFERROR(LARGE(D36:H36,3),0)</f>
        <v>44</v>
      </c>
      <c r="K36" s="20">
        <f>SUM(D36:H36)/C36</f>
        <v>22</v>
      </c>
      <c r="M36" s="2"/>
      <c r="N36" s="2"/>
      <c r="O36" s="36"/>
      <c r="P36" s="28"/>
      <c r="Q36" s="22"/>
      <c r="R36" s="10"/>
    </row>
    <row r="37" spans="1:23" s="8" customFormat="1" ht="18.75" customHeight="1" thickBot="1">
      <c r="A37" s="15">
        <f>RANK(J37,J$5:J$179)</f>
        <v>33</v>
      </c>
      <c r="B37" s="23" t="s">
        <v>289</v>
      </c>
      <c r="C37" s="17">
        <f>COUNT(D37:H37)</f>
        <v>1</v>
      </c>
      <c r="D37" s="26">
        <f>IFERROR(VLOOKUP($B37,ODCC!S:T,2,FALSE),"")</f>
        <v>43</v>
      </c>
      <c r="E37" s="187" t="str">
        <f>IFERROR(VLOOKUP($B37,Elmira!V:W,2,FALSE),"")</f>
        <v/>
      </c>
      <c r="F37" s="187" t="str">
        <f>IFERROR(VLOOKUP($B37,Chatham!N:O,2,FALSE),"")</f>
        <v/>
      </c>
      <c r="G37" s="187" t="str">
        <f>IFERROR(VLOOKUP($B37,London!AH:AI,2,FALSE),"")</f>
        <v/>
      </c>
      <c r="H37" s="31" t="str">
        <f>IFERROR(VLOOKUP($B37,'Ontario Singles'!D:E,2,FALSE),"")</f>
        <v/>
      </c>
      <c r="I37" s="30"/>
      <c r="J37" s="19">
        <f>IFERROR(LARGE(D37:H37,1),0)+IFERROR(LARGE(D37:H37,2),0)+IFERROR(LARGE(D37:H37,3),0)</f>
        <v>43</v>
      </c>
      <c r="K37" s="20">
        <f>SUM(D37:H37)/C37</f>
        <v>43</v>
      </c>
      <c r="L37" s="21"/>
      <c r="O37" s="27"/>
      <c r="P37" s="5"/>
    </row>
    <row r="38" spans="1:23" s="8" customFormat="1" ht="18.75" customHeight="1" thickBot="1">
      <c r="A38" s="15">
        <f>RANK(J38,J$5:J$179)</f>
        <v>33</v>
      </c>
      <c r="B38" s="23" t="s">
        <v>290</v>
      </c>
      <c r="C38" s="17">
        <f>COUNT(D38:H38)</f>
        <v>1</v>
      </c>
      <c r="D38" s="26">
        <f>IFERROR(VLOOKUP($B38,ODCC!S:T,2,FALSE),"")</f>
        <v>43</v>
      </c>
      <c r="E38" s="187" t="str">
        <f>IFERROR(VLOOKUP($B38,Elmira!V:W,2,FALSE),"")</f>
        <v/>
      </c>
      <c r="F38" s="187" t="str">
        <f>IFERROR(VLOOKUP($B38,Chatham!N:O,2,FALSE),"")</f>
        <v/>
      </c>
      <c r="G38" s="187" t="str">
        <f>IFERROR(VLOOKUP($B38,London!AH:AI,2,FALSE),"")</f>
        <v/>
      </c>
      <c r="H38" s="31" t="str">
        <f>IFERROR(VLOOKUP($B38,'Ontario Singles'!D:E,2,FALSE),"")</f>
        <v/>
      </c>
      <c r="I38" s="30"/>
      <c r="J38" s="19">
        <f>IFERROR(LARGE(D38:H38,1),0)+IFERROR(LARGE(D38:H38,2),0)+IFERROR(LARGE(D38:H38,3),0)</f>
        <v>43</v>
      </c>
      <c r="K38" s="20">
        <f>SUM(D38:H38)/C38</f>
        <v>43</v>
      </c>
      <c r="L38" s="21"/>
      <c r="O38" s="27"/>
      <c r="P38" s="28"/>
      <c r="Q38" s="22"/>
      <c r="R38" s="10"/>
    </row>
    <row r="39" spans="1:23" s="8" customFormat="1" ht="18.75" customHeight="1" thickBot="1">
      <c r="A39" s="15">
        <f>RANK(J39,J$5:J$179)</f>
        <v>33</v>
      </c>
      <c r="B39" s="23" t="s">
        <v>300</v>
      </c>
      <c r="C39" s="17">
        <f>COUNT(D39:H39)</f>
        <v>2</v>
      </c>
      <c r="D39" s="26" t="str">
        <f>IFERROR(VLOOKUP($B39,ODCC!S:T,2,FALSE),"")</f>
        <v/>
      </c>
      <c r="E39" s="187">
        <f>IFERROR(VLOOKUP($B39,Elmira!V:W,2,FALSE),"")</f>
        <v>23</v>
      </c>
      <c r="F39" s="187" t="str">
        <f>IFERROR(VLOOKUP($B39,Chatham!N:O,2,FALSE),"")</f>
        <v/>
      </c>
      <c r="G39" s="187">
        <f>IFERROR(VLOOKUP($B39,London!AH:AI,2,FALSE),"")</f>
        <v>20</v>
      </c>
      <c r="H39" s="31" t="str">
        <f>IFERROR(VLOOKUP($B39,'Ontario Singles'!D:E,2,FALSE),"")</f>
        <v/>
      </c>
      <c r="I39" s="30"/>
      <c r="J39" s="19">
        <f>IFERROR(LARGE(D39:H39,1),0)+IFERROR(LARGE(D39:H39,2),0)+IFERROR(LARGE(D39:H39,3),0)</f>
        <v>43</v>
      </c>
      <c r="K39" s="20">
        <f>SUM(D39:H39)/C39</f>
        <v>21.5</v>
      </c>
      <c r="L39" s="21"/>
    </row>
    <row r="40" spans="1:23" s="8" customFormat="1" ht="18.75" customHeight="1" thickBot="1">
      <c r="A40" s="15">
        <f>RANK(J40,J$5:J$179)</f>
        <v>33</v>
      </c>
      <c r="B40" s="23" t="s">
        <v>281</v>
      </c>
      <c r="C40" s="17">
        <f>COUNT(D40:H40)</f>
        <v>1</v>
      </c>
      <c r="D40" s="26" t="str">
        <f>IFERROR(VLOOKUP($B40,ODCC!S:T,2,FALSE),"")</f>
        <v/>
      </c>
      <c r="E40" s="187" t="str">
        <f>IFERROR(VLOOKUP($B40,Elmira!V:W,2,FALSE),"")</f>
        <v/>
      </c>
      <c r="F40" s="187" t="str">
        <f>IFERROR(VLOOKUP($B40,Chatham!N:O,2,FALSE),"")</f>
        <v/>
      </c>
      <c r="G40" s="187">
        <f>IFERROR(VLOOKUP($B40,London!AH:AI,2,FALSE),"")</f>
        <v>43</v>
      </c>
      <c r="H40" s="31" t="str">
        <f>IFERROR(VLOOKUP($B40,'Ontario Singles'!D:E,2,FALSE),"")</f>
        <v/>
      </c>
      <c r="I40" s="30"/>
      <c r="J40" s="19">
        <f>IFERROR(LARGE(D40:H40,1),0)+IFERROR(LARGE(D40:H40,2),0)+IFERROR(LARGE(D40:H40,3),0)</f>
        <v>43</v>
      </c>
      <c r="K40" s="20">
        <f>SUM(D40:H40)/C40</f>
        <v>43</v>
      </c>
      <c r="L40" s="21"/>
      <c r="M40" s="2"/>
      <c r="N40" s="2"/>
      <c r="O40" s="22"/>
      <c r="P40" s="5"/>
    </row>
    <row r="41" spans="1:23" s="8" customFormat="1" ht="18.75" customHeight="1" thickBot="1">
      <c r="A41" s="15">
        <f>RANK(J41,J$5:J$179)</f>
        <v>37</v>
      </c>
      <c r="B41" s="23" t="s">
        <v>303</v>
      </c>
      <c r="C41" s="17">
        <f>COUNT(D41:H41)</f>
        <v>2</v>
      </c>
      <c r="D41" s="26" t="str">
        <f>IFERROR(VLOOKUP($B41,ODCC!S:T,2,FALSE),"")</f>
        <v/>
      </c>
      <c r="E41" s="187" t="str">
        <f>IFERROR(VLOOKUP($B41,Elmira!V:W,2,FALSE),"")</f>
        <v/>
      </c>
      <c r="F41" s="187">
        <f>IFERROR(VLOOKUP($B41,Chatham!N:O,2,FALSE),"")</f>
        <v>22</v>
      </c>
      <c r="G41" s="187">
        <f>IFERROR(VLOOKUP($B41,London!AH:AI,2,FALSE),"")</f>
        <v>20</v>
      </c>
      <c r="H41" s="31" t="str">
        <f>IFERROR(VLOOKUP($B41,'Ontario Singles'!D:E,2,FALSE),"")</f>
        <v/>
      </c>
      <c r="I41" s="30"/>
      <c r="J41" s="19">
        <f>IFERROR(LARGE(D41:H41,1),0)+IFERROR(LARGE(D41:H41,2),0)+IFERROR(LARGE(D41:H41,3),0)</f>
        <v>42</v>
      </c>
      <c r="K41" s="20">
        <f>SUM(D41:H41)/C41</f>
        <v>21</v>
      </c>
      <c r="L41" s="21"/>
    </row>
    <row r="42" spans="1:23" s="8" customFormat="1" ht="18.75" customHeight="1" thickBot="1">
      <c r="A42" s="15">
        <f>RANK(J42,J$5:J$179)</f>
        <v>37</v>
      </c>
      <c r="B42" s="23" t="s">
        <v>354</v>
      </c>
      <c r="C42" s="17">
        <f>COUNT(D42:H42)</f>
        <v>2</v>
      </c>
      <c r="D42" s="26" t="str">
        <f>IFERROR(VLOOKUP($B42,ODCC!S:T,2,FALSE),"")</f>
        <v/>
      </c>
      <c r="E42" s="187">
        <f>IFERROR(VLOOKUP($B42,Elmira!V:W,2,FALSE),"")</f>
        <v>21</v>
      </c>
      <c r="F42" s="187" t="str">
        <f>IFERROR(VLOOKUP($B42,Chatham!N:O,2,FALSE),"")</f>
        <v/>
      </c>
      <c r="G42" s="187">
        <f>IFERROR(VLOOKUP($B42,London!AH:AI,2,FALSE),"")</f>
        <v>21</v>
      </c>
      <c r="H42" s="31" t="str">
        <f>IFERROR(VLOOKUP($B42,'Ontario Singles'!D:E,2,FALSE),"")</f>
        <v/>
      </c>
      <c r="I42" s="30"/>
      <c r="J42" s="19">
        <f>IFERROR(LARGE(D42:H42,1),0)+IFERROR(LARGE(D42:H42,2),0)+IFERROR(LARGE(D42:H42,3),0)</f>
        <v>42</v>
      </c>
      <c r="K42" s="20">
        <f>SUM(D42:H42)/C42</f>
        <v>21</v>
      </c>
      <c r="M42" s="2"/>
      <c r="N42" s="2"/>
      <c r="O42" s="36"/>
      <c r="P42" s="5"/>
    </row>
    <row r="43" spans="1:23" s="8" customFormat="1" ht="18.75" customHeight="1" thickBot="1">
      <c r="A43" s="15">
        <f>RANK(J43,J$5:J$179)</f>
        <v>39</v>
      </c>
      <c r="B43" s="23" t="s">
        <v>291</v>
      </c>
      <c r="C43" s="17">
        <f>COUNT(D43:H43)</f>
        <v>1</v>
      </c>
      <c r="D43" s="26">
        <f>IFERROR(VLOOKUP($B43,ODCC!S:T,2,FALSE),"")</f>
        <v>41</v>
      </c>
      <c r="E43" s="187" t="str">
        <f>IFERROR(VLOOKUP($B43,Elmira!V:W,2,FALSE),"")</f>
        <v/>
      </c>
      <c r="F43" s="187" t="str">
        <f>IFERROR(VLOOKUP($B43,Chatham!N:O,2,FALSE),"")</f>
        <v/>
      </c>
      <c r="G43" s="187" t="str">
        <f>IFERROR(VLOOKUP($B43,London!AH:AI,2,FALSE),"")</f>
        <v/>
      </c>
      <c r="H43" s="31" t="str">
        <f>IFERROR(VLOOKUP($B43,'Ontario Singles'!D:E,2,FALSE),"")</f>
        <v/>
      </c>
      <c r="I43" s="30"/>
      <c r="J43" s="19">
        <f>IFERROR(LARGE(D43:H43,1),0)+IFERROR(LARGE(D43:H43,2),0)+IFERROR(LARGE(D43:H43,3),0)</f>
        <v>41</v>
      </c>
      <c r="K43" s="20">
        <f>SUM(D43:H43)/C43</f>
        <v>41</v>
      </c>
      <c r="L43" s="21"/>
      <c r="O43" s="10"/>
      <c r="P43" s="28"/>
      <c r="Q43" s="29"/>
      <c r="R43" s="10"/>
    </row>
    <row r="44" spans="1:23" s="8" customFormat="1" ht="18.75" customHeight="1" thickBot="1">
      <c r="A44" s="15">
        <f>RANK(J44,J$5:J$179)</f>
        <v>39</v>
      </c>
      <c r="B44" s="23" t="s">
        <v>292</v>
      </c>
      <c r="C44" s="17">
        <f>COUNT(D44:H44)</f>
        <v>1</v>
      </c>
      <c r="D44" s="26">
        <f>IFERROR(VLOOKUP($B44,ODCC!S:T,2,FALSE),"")</f>
        <v>41</v>
      </c>
      <c r="E44" s="187" t="str">
        <f>IFERROR(VLOOKUP($B44,Elmira!V:W,2,FALSE),"")</f>
        <v/>
      </c>
      <c r="F44" s="187" t="str">
        <f>IFERROR(VLOOKUP($B44,Chatham!N:O,2,FALSE),"")</f>
        <v/>
      </c>
      <c r="G44" s="187" t="str">
        <f>IFERROR(VLOOKUP($B44,London!AH:AI,2,FALSE),"")</f>
        <v/>
      </c>
      <c r="H44" s="31" t="str">
        <f>IFERROR(VLOOKUP($B44,'Ontario Singles'!D:E,2,FALSE),"")</f>
        <v/>
      </c>
      <c r="I44" s="30"/>
      <c r="J44" s="19">
        <f>IFERROR(LARGE(D44:H44,1),0)+IFERROR(LARGE(D44:H44,2),0)+IFERROR(LARGE(D44:H44,3),0)</f>
        <v>41</v>
      </c>
      <c r="K44" s="20">
        <f>SUM(D44:H44)/C44</f>
        <v>41</v>
      </c>
      <c r="L44" s="21"/>
    </row>
    <row r="45" spans="1:23" s="8" customFormat="1" ht="18.75" customHeight="1" thickBot="1">
      <c r="A45" s="15">
        <f>RANK(J45,J$5:J$179)</f>
        <v>39</v>
      </c>
      <c r="B45" s="23" t="s">
        <v>334</v>
      </c>
      <c r="C45" s="17">
        <f>COUNT(D45:H45)</f>
        <v>1</v>
      </c>
      <c r="D45" s="26" t="str">
        <f>IFERROR(VLOOKUP($B45,ODCC!S:T,2,FALSE),"")</f>
        <v/>
      </c>
      <c r="E45" s="187">
        <f>IFERROR(VLOOKUP($B45,Elmira!V:W,2,FALSE),"")</f>
        <v>41</v>
      </c>
      <c r="F45" s="187" t="str">
        <f>IFERROR(VLOOKUP($B45,Chatham!N:O,2,FALSE),"")</f>
        <v/>
      </c>
      <c r="G45" s="187" t="str">
        <f>IFERROR(VLOOKUP($B45,London!AH:AI,2,FALSE),"")</f>
        <v/>
      </c>
      <c r="H45" s="31" t="str">
        <f>IFERROR(VLOOKUP($B45,'Ontario Singles'!D:E,2,FALSE),"")</f>
        <v/>
      </c>
      <c r="I45" s="30"/>
      <c r="J45" s="19">
        <f>IFERROR(LARGE(D45:H45,1),0)+IFERROR(LARGE(D45:H45,2),0)+IFERROR(LARGE(D45:H45,3),0)</f>
        <v>41</v>
      </c>
      <c r="K45" s="20">
        <f>SUM(D45:H45)/C45</f>
        <v>41</v>
      </c>
      <c r="L45" s="21"/>
      <c r="M45" s="2"/>
      <c r="N45" s="2"/>
      <c r="O45" s="22"/>
      <c r="P45" s="34"/>
      <c r="Q45" s="22"/>
      <c r="R45" s="10"/>
    </row>
    <row r="46" spans="1:23" s="8" customFormat="1" ht="18.75" customHeight="1" thickBot="1">
      <c r="A46" s="15">
        <f>RANK(J46,J$5:J$179)</f>
        <v>39</v>
      </c>
      <c r="B46" s="23" t="s">
        <v>423</v>
      </c>
      <c r="C46" s="17">
        <f>COUNT(D46:H46)</f>
        <v>1</v>
      </c>
      <c r="D46" s="26" t="str">
        <f>IFERROR(VLOOKUP($B46,ODCC!S:T,2,FALSE),"")</f>
        <v/>
      </c>
      <c r="E46" s="187" t="str">
        <f>IFERROR(VLOOKUP($B46,Elmira!V:W,2,FALSE),"")</f>
        <v/>
      </c>
      <c r="F46" s="187" t="str">
        <f>IFERROR(VLOOKUP($B46,Chatham!N:O,2,FALSE),"")</f>
        <v/>
      </c>
      <c r="G46" s="187">
        <f>IFERROR(VLOOKUP($B46,London!AH:AI,2,FALSE),"")</f>
        <v>41</v>
      </c>
      <c r="H46" s="31" t="str">
        <f>IFERROR(VLOOKUP($B46,'Ontario Singles'!D:E,2,FALSE),"")</f>
        <v/>
      </c>
      <c r="I46" s="37"/>
      <c r="J46" s="19">
        <f>IFERROR(LARGE(D46:H46,1),0)+IFERROR(LARGE(D46:H46,2),0)+IFERROR(LARGE(D46:H46,3),0)</f>
        <v>41</v>
      </c>
      <c r="K46" s="20">
        <f>SUM(D46:H46)/C46</f>
        <v>41</v>
      </c>
      <c r="L46" s="21"/>
      <c r="M46" s="2"/>
      <c r="N46" s="2"/>
      <c r="O46" s="36"/>
      <c r="P46" s="5"/>
    </row>
    <row r="47" spans="1:23" s="8" customFormat="1" ht="18.75" customHeight="1" thickBot="1">
      <c r="A47" s="15">
        <f>RANK(J47,J$5:J$179)</f>
        <v>43</v>
      </c>
      <c r="B47" s="23" t="s">
        <v>293</v>
      </c>
      <c r="C47" s="17">
        <f>COUNT(D47:H47)</f>
        <v>1</v>
      </c>
      <c r="D47" s="26">
        <f>IFERROR(VLOOKUP($B47,ODCC!S:T,2,FALSE),"")</f>
        <v>40</v>
      </c>
      <c r="E47" s="187" t="str">
        <f>IFERROR(VLOOKUP($B47,Elmira!V:W,2,FALSE),"")</f>
        <v/>
      </c>
      <c r="F47" s="187" t="str">
        <f>IFERROR(VLOOKUP($B47,Chatham!N:O,2,FALSE),"")</f>
        <v/>
      </c>
      <c r="G47" s="187" t="str">
        <f>IFERROR(VLOOKUP($B47,London!AH:AI,2,FALSE),"")</f>
        <v/>
      </c>
      <c r="H47" s="31" t="str">
        <f>IFERROR(VLOOKUP($B47,'Ontario Singles'!D:E,2,FALSE),"")</f>
        <v/>
      </c>
      <c r="I47" s="30"/>
      <c r="J47" s="19">
        <f>IFERROR(LARGE(D47:H47,1),0)+IFERROR(LARGE(D47:H47,2),0)+IFERROR(LARGE(D47:H47,3),0)</f>
        <v>40</v>
      </c>
      <c r="K47" s="20">
        <f>SUM(D47:H47)/C47</f>
        <v>40</v>
      </c>
      <c r="L47" s="21"/>
      <c r="O47" s="22"/>
    </row>
    <row r="48" spans="1:23" s="8" customFormat="1" ht="18.75" customHeight="1" thickBot="1">
      <c r="A48" s="15">
        <f>RANK(J48,J$5:J$179)</f>
        <v>43</v>
      </c>
      <c r="B48" s="23" t="s">
        <v>294</v>
      </c>
      <c r="C48" s="17">
        <f>COUNT(D48:H48)</f>
        <v>1</v>
      </c>
      <c r="D48" s="26">
        <f>IFERROR(VLOOKUP($B48,ODCC!S:T,2,FALSE),"")</f>
        <v>40</v>
      </c>
      <c r="E48" s="187" t="str">
        <f>IFERROR(VLOOKUP($B48,Elmira!V:W,2,FALSE),"")</f>
        <v/>
      </c>
      <c r="F48" s="187" t="str">
        <f>IFERROR(VLOOKUP($B48,Chatham!N:O,2,FALSE),"")</f>
        <v/>
      </c>
      <c r="G48" s="187" t="str">
        <f>IFERROR(VLOOKUP($B48,London!AH:AI,2,FALSE),"")</f>
        <v/>
      </c>
      <c r="H48" s="31" t="str">
        <f>IFERROR(VLOOKUP($B48,'Ontario Singles'!D:E,2,FALSE),"")</f>
        <v/>
      </c>
      <c r="I48" s="10"/>
      <c r="J48" s="19">
        <f>IFERROR(LARGE(D48:H48,1),0)+IFERROR(LARGE(D48:H48,2),0)+IFERROR(LARGE(D48:H48,3),0)</f>
        <v>40</v>
      </c>
      <c r="K48" s="20">
        <f>SUM(D48:H48)/C48</f>
        <v>40</v>
      </c>
      <c r="L48" s="21"/>
      <c r="M48" s="10"/>
      <c r="N48" s="35"/>
      <c r="O48" s="10"/>
      <c r="P48" s="10"/>
      <c r="Q48" s="10"/>
      <c r="R48" s="10"/>
      <c r="S48" s="10"/>
      <c r="T48" s="10"/>
      <c r="U48" s="10"/>
      <c r="V48" s="10"/>
      <c r="W48" s="10"/>
    </row>
    <row r="49" spans="1:26" s="8" customFormat="1" ht="18.75" customHeight="1" thickBot="1">
      <c r="A49" s="15">
        <f>RANK(J49,J$5:J$179)</f>
        <v>43</v>
      </c>
      <c r="B49" s="23" t="s">
        <v>340</v>
      </c>
      <c r="C49" s="17">
        <f>COUNT(D49:H49)</f>
        <v>1</v>
      </c>
      <c r="D49" s="26" t="str">
        <f>IFERROR(VLOOKUP($B49,ODCC!S:T,2,FALSE),"")</f>
        <v/>
      </c>
      <c r="E49" s="187">
        <f>IFERROR(VLOOKUP($B49,Elmira!V:W,2,FALSE),"")</f>
        <v>40</v>
      </c>
      <c r="F49" s="187" t="str">
        <f>IFERROR(VLOOKUP($B49,Chatham!N:O,2,FALSE),"")</f>
        <v/>
      </c>
      <c r="G49" s="187" t="str">
        <f>IFERROR(VLOOKUP($B49,London!AH:AI,2,FALSE),"")</f>
        <v/>
      </c>
      <c r="H49" s="31" t="str">
        <f>IFERROR(VLOOKUP($B49,'Ontario Singles'!D:E,2,FALSE),"")</f>
        <v/>
      </c>
      <c r="I49" s="10"/>
      <c r="J49" s="19">
        <f>IFERROR(LARGE(D49:H49,1),0)+IFERROR(LARGE(D49:H49,2),0)+IFERROR(LARGE(D49:H49,3),0)</f>
        <v>40</v>
      </c>
      <c r="K49" s="20">
        <f>SUM(D49:H49)/C49</f>
        <v>40</v>
      </c>
      <c r="L49" s="21"/>
      <c r="M49" s="2"/>
      <c r="N49" s="2"/>
      <c r="O49" s="22"/>
      <c r="P49" s="34"/>
      <c r="Q49" s="22"/>
      <c r="R49" s="10"/>
    </row>
    <row r="50" spans="1:26" s="8" customFormat="1" ht="18.75" customHeight="1" thickBot="1">
      <c r="A50" s="15">
        <f>RANK(J50,J$5:J$179)</f>
        <v>46</v>
      </c>
      <c r="B50" s="23" t="s">
        <v>295</v>
      </c>
      <c r="C50" s="17">
        <f>COUNT(D50:H50)</f>
        <v>1</v>
      </c>
      <c r="D50" s="26">
        <f>IFERROR(VLOOKUP($B50,ODCC!S:T,2,FALSE),"")</f>
        <v>39</v>
      </c>
      <c r="E50" s="187" t="str">
        <f>IFERROR(VLOOKUP($B50,Elmira!V:W,2,FALSE),"")</f>
        <v/>
      </c>
      <c r="F50" s="187" t="str">
        <f>IFERROR(VLOOKUP($B50,Chatham!N:O,2,FALSE),"")</f>
        <v/>
      </c>
      <c r="G50" s="187" t="str">
        <f>IFERROR(VLOOKUP($B50,London!AH:AI,2,FALSE),"")</f>
        <v/>
      </c>
      <c r="H50" s="31" t="str">
        <f>IFERROR(VLOOKUP($B50,'Ontario Singles'!D:E,2,FALSE),"")</f>
        <v/>
      </c>
      <c r="I50" s="10"/>
      <c r="J50" s="19">
        <f>IFERROR(LARGE(D50:H50,1),0)+IFERROR(LARGE(D50:H50,2),0)+IFERROR(LARGE(D50:H50,3),0)</f>
        <v>39</v>
      </c>
      <c r="K50" s="20">
        <f>SUM(D50:H50)/C50</f>
        <v>39</v>
      </c>
      <c r="L50" s="21"/>
      <c r="O50" s="10"/>
      <c r="P50" s="28"/>
      <c r="Q50" s="29"/>
      <c r="R50" s="10"/>
    </row>
    <row r="51" spans="1:26" s="8" customFormat="1" ht="18.75" customHeight="1" thickBot="1">
      <c r="A51" s="15">
        <f>RANK(J51,J$5:J$179)</f>
        <v>46</v>
      </c>
      <c r="B51" s="23" t="s">
        <v>242</v>
      </c>
      <c r="C51" s="17">
        <f>COUNT(D51:H51)</f>
        <v>1</v>
      </c>
      <c r="D51" s="26">
        <f>IFERROR(VLOOKUP($B51,ODCC!S:T,2,FALSE),"")</f>
        <v>39</v>
      </c>
      <c r="E51" s="187" t="str">
        <f>IFERROR(VLOOKUP($B51,Elmira!V:W,2,FALSE),"")</f>
        <v/>
      </c>
      <c r="F51" s="187" t="str">
        <f>IFERROR(VLOOKUP($B51,Chatham!N:O,2,FALSE),"")</f>
        <v/>
      </c>
      <c r="G51" s="187" t="str">
        <f>IFERROR(VLOOKUP($B51,London!AH:AI,2,FALSE),"")</f>
        <v/>
      </c>
      <c r="H51" s="31" t="str">
        <f>IFERROR(VLOOKUP($B51,'Ontario Singles'!D:E,2,FALSE),"")</f>
        <v/>
      </c>
      <c r="I51" s="10"/>
      <c r="J51" s="19">
        <f>IFERROR(LARGE(D51:H51,1),0)+IFERROR(LARGE(D51:H51,2),0)+IFERROR(LARGE(D51:H51,3),0)</f>
        <v>39</v>
      </c>
      <c r="K51" s="20">
        <f>SUM(D51:H51)/C51</f>
        <v>39</v>
      </c>
      <c r="O51" s="27"/>
      <c r="P51" s="28"/>
      <c r="Q51" s="22"/>
      <c r="R51" s="10"/>
    </row>
    <row r="52" spans="1:26" s="8" customFormat="1" ht="18.75" customHeight="1" thickBot="1">
      <c r="A52" s="15">
        <f>RANK(J52,J$5:J$179)</f>
        <v>46</v>
      </c>
      <c r="B52" s="23" t="s">
        <v>415</v>
      </c>
      <c r="C52" s="17">
        <f>COUNT(D52:H52)</f>
        <v>1</v>
      </c>
      <c r="D52" s="26" t="str">
        <f>IFERROR(VLOOKUP($B52,ODCC!S:T,2,FALSE),"")</f>
        <v/>
      </c>
      <c r="E52" s="187" t="str">
        <f>IFERROR(VLOOKUP($B52,Elmira!V:W,2,FALSE),"")</f>
        <v/>
      </c>
      <c r="F52" s="187">
        <f>IFERROR(VLOOKUP($B52,Chatham!N:O,2,FALSE),"")</f>
        <v>39</v>
      </c>
      <c r="G52" s="187" t="str">
        <f>IFERROR(VLOOKUP($B52,London!AH:AI,2,FALSE),"")</f>
        <v/>
      </c>
      <c r="H52" s="31" t="str">
        <f>IFERROR(VLOOKUP($B52,'Ontario Singles'!D:E,2,FALSE),"")</f>
        <v/>
      </c>
      <c r="I52" s="10"/>
      <c r="J52" s="19">
        <f>IFERROR(LARGE(D52:H52,1),0)+IFERROR(LARGE(D52:H52,2),0)+IFERROR(LARGE(D52:H52,3),0)</f>
        <v>39</v>
      </c>
      <c r="K52" s="20">
        <f>SUM(D52:H52)/C52</f>
        <v>39</v>
      </c>
      <c r="M52" s="2"/>
      <c r="N52" s="2"/>
      <c r="O52" s="22"/>
      <c r="P52" s="28"/>
      <c r="Q52" s="22"/>
      <c r="R52" s="10"/>
    </row>
    <row r="53" spans="1:26" s="8" customFormat="1" ht="18.75" customHeight="1" thickBot="1">
      <c r="A53" s="15">
        <f>RANK(J53,J$5:J$179)</f>
        <v>49</v>
      </c>
      <c r="B53" s="23" t="s">
        <v>296</v>
      </c>
      <c r="C53" s="17">
        <f>COUNT(D53:H53)</f>
        <v>1</v>
      </c>
      <c r="D53" s="26">
        <f>IFERROR(VLOOKUP($B53,ODCC!S:T,2,FALSE),"")</f>
        <v>38</v>
      </c>
      <c r="E53" s="187" t="str">
        <f>IFERROR(VLOOKUP($B53,Elmira!V:W,2,FALSE),"")</f>
        <v/>
      </c>
      <c r="F53" s="187" t="str">
        <f>IFERROR(VLOOKUP($B53,Chatham!N:O,2,FALSE),"")</f>
        <v/>
      </c>
      <c r="G53" s="187" t="str">
        <f>IFERROR(VLOOKUP($B53,London!AH:AI,2,FALSE),"")</f>
        <v/>
      </c>
      <c r="H53" s="31" t="str">
        <f>IFERROR(VLOOKUP($B53,'Ontario Singles'!D:E,2,FALSE),"")</f>
        <v/>
      </c>
      <c r="I53" s="10"/>
      <c r="J53" s="19">
        <f>IFERROR(LARGE(D53:H53,1),0)+IFERROR(LARGE(D53:H53,2),0)+IFERROR(LARGE(D53:H53,3),0)</f>
        <v>38</v>
      </c>
      <c r="K53" s="20">
        <f>SUM(D53:H53)/C53</f>
        <v>38</v>
      </c>
      <c r="L53" s="21"/>
      <c r="M53" s="10"/>
      <c r="O53" s="27"/>
      <c r="P53" s="28"/>
      <c r="Q53" s="22"/>
      <c r="R53" s="10"/>
    </row>
    <row r="54" spans="1:26" s="8" customFormat="1" ht="18.75" customHeight="1" thickBot="1">
      <c r="A54" s="15">
        <f>RANK(J54,J$5:J$179)</f>
        <v>49</v>
      </c>
      <c r="B54" s="23" t="s">
        <v>297</v>
      </c>
      <c r="C54" s="17">
        <f>COUNT(D54:H54)</f>
        <v>1</v>
      </c>
      <c r="D54" s="26">
        <f>IFERROR(VLOOKUP($B54,ODCC!S:T,2,FALSE),"")</f>
        <v>38</v>
      </c>
      <c r="E54" s="187" t="str">
        <f>IFERROR(VLOOKUP($B54,Elmira!V:W,2,FALSE),"")</f>
        <v/>
      </c>
      <c r="F54" s="187" t="str">
        <f>IFERROR(VLOOKUP($B54,Chatham!N:O,2,FALSE),"")</f>
        <v/>
      </c>
      <c r="G54" s="187" t="str">
        <f>IFERROR(VLOOKUP($B54,London!AH:AI,2,FALSE),"")</f>
        <v/>
      </c>
      <c r="H54" s="31" t="str">
        <f>IFERROR(VLOOKUP($B54,'Ontario Singles'!D:E,2,FALSE),"")</f>
        <v/>
      </c>
      <c r="I54" s="10"/>
      <c r="J54" s="19">
        <f>IFERROR(LARGE(D54:H54,1),0)+IFERROR(LARGE(D54:H54,2),0)+IFERROR(LARGE(D54:H54,3),0)</f>
        <v>38</v>
      </c>
      <c r="K54" s="20">
        <f>SUM(D54:H54)/C54</f>
        <v>38</v>
      </c>
      <c r="L54" s="21"/>
      <c r="M54" s="2"/>
      <c r="N54" s="2"/>
      <c r="O54" s="36"/>
      <c r="P54" s="10"/>
      <c r="Q54" s="36"/>
      <c r="R54" s="10"/>
    </row>
    <row r="55" spans="1:26" s="8" customFormat="1" ht="18.75" customHeight="1" thickBot="1">
      <c r="A55" s="15">
        <f>RANK(J55,J$5:J$179)</f>
        <v>49</v>
      </c>
      <c r="B55" s="23" t="s">
        <v>332</v>
      </c>
      <c r="C55" s="17">
        <f>COUNT(D55:H55)</f>
        <v>1</v>
      </c>
      <c r="D55" s="26" t="str">
        <f>IFERROR(VLOOKUP($B55,ODCC!S:T,2,FALSE),"")</f>
        <v/>
      </c>
      <c r="E55" s="187">
        <f>IFERROR(VLOOKUP($B55,Elmira!V:W,2,FALSE),"")</f>
        <v>38</v>
      </c>
      <c r="F55" s="187" t="str">
        <f>IFERROR(VLOOKUP($B55,Chatham!N:O,2,FALSE),"")</f>
        <v/>
      </c>
      <c r="G55" s="187" t="str">
        <f>IFERROR(VLOOKUP($B55,London!AH:AI,2,FALSE),"")</f>
        <v/>
      </c>
      <c r="H55" s="31" t="str">
        <f>IFERROR(VLOOKUP($B55,'Ontario Singles'!D:E,2,FALSE),"")</f>
        <v/>
      </c>
      <c r="I55" s="10"/>
      <c r="J55" s="19">
        <f>IFERROR(LARGE(D55:H55,1),0)+IFERROR(LARGE(D55:H55,2),0)+IFERROR(LARGE(D55:H55,3),0)</f>
        <v>38</v>
      </c>
      <c r="K55" s="20">
        <f>SUM(D55:H55)/C55</f>
        <v>38</v>
      </c>
      <c r="L55" s="21"/>
      <c r="M55" s="2"/>
      <c r="N55" s="2"/>
      <c r="O55" s="22"/>
      <c r="P55" s="34"/>
      <c r="Q55" s="22"/>
      <c r="R55" s="10"/>
    </row>
    <row r="56" spans="1:26" s="8" customFormat="1" ht="18.75" customHeight="1" thickBot="1">
      <c r="A56" s="15">
        <f>RANK(J56,J$5:J$179)</f>
        <v>49</v>
      </c>
      <c r="B56" s="23" t="s">
        <v>401</v>
      </c>
      <c r="C56" s="17">
        <f>COUNT(D56:H56)</f>
        <v>1</v>
      </c>
      <c r="D56" s="26" t="str">
        <f>IFERROR(VLOOKUP($B56,ODCC!S:T,2,FALSE),"")</f>
        <v/>
      </c>
      <c r="E56" s="187" t="str">
        <f>IFERROR(VLOOKUP($B56,Elmira!V:W,2,FALSE),"")</f>
        <v/>
      </c>
      <c r="F56" s="187">
        <f>IFERROR(VLOOKUP($B56,Chatham!N:O,2,FALSE),"")</f>
        <v>38</v>
      </c>
      <c r="G56" s="187" t="str">
        <f>IFERROR(VLOOKUP($B56,London!AH:AI,2,FALSE),"")</f>
        <v/>
      </c>
      <c r="H56" s="31" t="str">
        <f>IFERROR(VLOOKUP($B56,'Ontario Singles'!D:E,2,FALSE),"")</f>
        <v/>
      </c>
      <c r="I56" s="30"/>
      <c r="J56" s="19">
        <f>IFERROR(LARGE(D56:H56,1),0)+IFERROR(LARGE(D56:H56,2),0)+IFERROR(LARGE(D56:H56,3),0)</f>
        <v>38</v>
      </c>
      <c r="K56" s="20">
        <f>SUM(D56:H56)/C56</f>
        <v>38</v>
      </c>
      <c r="L56" s="21"/>
      <c r="M56" s="2"/>
      <c r="N56" s="2"/>
      <c r="O56" s="36"/>
      <c r="P56" s="10"/>
      <c r="Q56" s="36"/>
      <c r="R56" s="10"/>
    </row>
    <row r="57" spans="1:26" s="8" customFormat="1" ht="18.75" customHeight="1" thickBot="1">
      <c r="A57" s="15">
        <f>RANK(J57,J$5:J$179)</f>
        <v>49</v>
      </c>
      <c r="B57" s="23" t="s">
        <v>462</v>
      </c>
      <c r="C57" s="17">
        <f>COUNT(D57:H57)</f>
        <v>1</v>
      </c>
      <c r="D57" s="26" t="str">
        <f>IFERROR(VLOOKUP($B57,ODCC!S:T,2,FALSE),"")</f>
        <v/>
      </c>
      <c r="E57" s="187" t="str">
        <f>IFERROR(VLOOKUP($B57,Elmira!V:W,2,FALSE),"")</f>
        <v/>
      </c>
      <c r="F57" s="187" t="str">
        <f>IFERROR(VLOOKUP($B57,Chatham!N:O,2,FALSE),"")</f>
        <v/>
      </c>
      <c r="G57" s="187">
        <f>IFERROR(VLOOKUP($B57,London!AH:AI,2,FALSE),"")</f>
        <v>38</v>
      </c>
      <c r="H57" s="31" t="str">
        <f>IFERROR(VLOOKUP($B57,'Ontario Singles'!D:E,2,FALSE),"")</f>
        <v/>
      </c>
      <c r="I57" s="30"/>
      <c r="J57" s="19">
        <f>IFERROR(LARGE(D57:H57,1),0)+IFERROR(LARGE(D57:H57,2),0)+IFERROR(LARGE(D57:H57,3),0)</f>
        <v>38</v>
      </c>
      <c r="K57" s="20">
        <f>SUM(D57:H57)/C57</f>
        <v>38</v>
      </c>
      <c r="L57" s="21"/>
      <c r="O57" s="36"/>
      <c r="P57" s="10"/>
      <c r="Q57" s="36"/>
      <c r="R57" s="10"/>
    </row>
    <row r="58" spans="1:26" s="8" customFormat="1" ht="18.75" customHeight="1" thickBot="1">
      <c r="A58" s="15">
        <f>RANK(J58,J$5:J$179)</f>
        <v>54</v>
      </c>
      <c r="B58" s="23" t="s">
        <v>298</v>
      </c>
      <c r="C58" s="17">
        <f>COUNT(D58:H58)</f>
        <v>1</v>
      </c>
      <c r="D58" s="26">
        <f>IFERROR(VLOOKUP($B58,ODCC!S:T,2,FALSE),"")</f>
        <v>37</v>
      </c>
      <c r="E58" s="187" t="str">
        <f>IFERROR(VLOOKUP($B58,Elmira!V:W,2,FALSE),"")</f>
        <v/>
      </c>
      <c r="F58" s="187" t="str">
        <f>IFERROR(VLOOKUP($B58,Chatham!N:O,2,FALSE),"")</f>
        <v/>
      </c>
      <c r="G58" s="187" t="str">
        <f>IFERROR(VLOOKUP($B58,London!AH:AI,2,FALSE),"")</f>
        <v/>
      </c>
      <c r="H58" s="31" t="str">
        <f>IFERROR(VLOOKUP($B58,'Ontario Singles'!D:E,2,FALSE),"")</f>
        <v/>
      </c>
      <c r="I58" s="10"/>
      <c r="J58" s="19">
        <f>IFERROR(LARGE(D58:H58,1),0)+IFERROR(LARGE(D58:H58,2),0)+IFERROR(LARGE(D58:H58,3),0)</f>
        <v>37</v>
      </c>
      <c r="K58" s="20">
        <f>SUM(D58:H58)/C58</f>
        <v>37</v>
      </c>
      <c r="L58" s="21"/>
    </row>
    <row r="59" spans="1:26" s="8" customFormat="1" ht="18.75" customHeight="1" thickBot="1">
      <c r="A59" s="15">
        <f>RANK(J59,J$5:J$179)</f>
        <v>54</v>
      </c>
      <c r="B59" s="23" t="s">
        <v>335</v>
      </c>
      <c r="C59" s="17">
        <f>COUNT(D59:H59)</f>
        <v>1</v>
      </c>
      <c r="D59" s="26" t="str">
        <f>IFERROR(VLOOKUP($B59,ODCC!S:T,2,FALSE),"")</f>
        <v/>
      </c>
      <c r="E59" s="187">
        <f>IFERROR(VLOOKUP($B59,Elmira!V:W,2,FALSE),"")</f>
        <v>37</v>
      </c>
      <c r="F59" s="187" t="str">
        <f>IFERROR(VLOOKUP($B59,Chatham!N:O,2,FALSE),"")</f>
        <v/>
      </c>
      <c r="G59" s="187" t="str">
        <f>IFERROR(VLOOKUP($B59,London!AH:AI,2,FALSE),"")</f>
        <v/>
      </c>
      <c r="H59" s="31" t="str">
        <f>IFERROR(VLOOKUP($B59,'Ontario Singles'!D:E,2,FALSE),"")</f>
        <v/>
      </c>
      <c r="I59" s="30"/>
      <c r="J59" s="19">
        <f>IFERROR(LARGE(D59:H59,1),0)+IFERROR(LARGE(D59:H59,2),0)+IFERROR(LARGE(D59:H59,3),0)</f>
        <v>37</v>
      </c>
      <c r="K59" s="20">
        <f>SUM(D59:H59)/C59</f>
        <v>37</v>
      </c>
      <c r="L59" s="21"/>
      <c r="O59" s="27"/>
      <c r="P59" s="2"/>
      <c r="Q59" s="10"/>
      <c r="R59" s="32"/>
      <c r="S59" s="32"/>
      <c r="T59" s="32"/>
      <c r="U59" s="22"/>
    </row>
    <row r="60" spans="1:26" s="8" customFormat="1" ht="18.75" customHeight="1" thickBot="1">
      <c r="A60" s="15">
        <f>RANK(J60,J$5:J$179)</f>
        <v>54</v>
      </c>
      <c r="B60" s="23" t="s">
        <v>342</v>
      </c>
      <c r="C60" s="17">
        <f>COUNT(D60:H60)</f>
        <v>1</v>
      </c>
      <c r="D60" s="26" t="str">
        <f>IFERROR(VLOOKUP($B60,ODCC!S:T,2,FALSE),"")</f>
        <v/>
      </c>
      <c r="E60" s="187">
        <f>IFERROR(VLOOKUP($B60,Elmira!V:W,2,FALSE),"")</f>
        <v>37</v>
      </c>
      <c r="F60" s="187" t="str">
        <f>IFERROR(VLOOKUP($B60,Chatham!N:O,2,FALSE),"")</f>
        <v/>
      </c>
      <c r="G60" s="187" t="str">
        <f>IFERROR(VLOOKUP($B60,London!AH:AI,2,FALSE),"")</f>
        <v/>
      </c>
      <c r="H60" s="31" t="str">
        <f>IFERROR(VLOOKUP($B60,'Ontario Singles'!D:E,2,FALSE),"")</f>
        <v/>
      </c>
      <c r="I60" s="30"/>
      <c r="J60" s="19">
        <f>IFERROR(LARGE(D60:H60,1),0)+IFERROR(LARGE(D60:H60,2),0)+IFERROR(LARGE(D60:H60,3),0)</f>
        <v>37</v>
      </c>
      <c r="K60" s="20">
        <f>SUM(D60:H60)/C60</f>
        <v>37</v>
      </c>
      <c r="L60" s="21"/>
      <c r="Y60" s="10"/>
      <c r="Z60" s="21"/>
    </row>
    <row r="61" spans="1:26" s="8" customFormat="1" ht="18.75" customHeight="1" thickBot="1">
      <c r="A61" s="15">
        <f>RANK(J61,J$5:J$179)</f>
        <v>54</v>
      </c>
      <c r="B61" s="23" t="s">
        <v>414</v>
      </c>
      <c r="C61" s="17">
        <f>COUNT(D61:H61)</f>
        <v>1</v>
      </c>
      <c r="D61" s="26" t="str">
        <f>IFERROR(VLOOKUP($B61,ODCC!S:T,2,FALSE),"")</f>
        <v/>
      </c>
      <c r="E61" s="187" t="str">
        <f>IFERROR(VLOOKUP($B61,Elmira!V:W,2,FALSE),"")</f>
        <v/>
      </c>
      <c r="F61" s="187">
        <f>IFERROR(VLOOKUP($B61,Chatham!N:O,2,FALSE),"")</f>
        <v>37</v>
      </c>
      <c r="G61" s="187" t="str">
        <f>IFERROR(VLOOKUP($B61,London!AH:AI,2,FALSE),"")</f>
        <v/>
      </c>
      <c r="H61" s="31" t="str">
        <f>IFERROR(VLOOKUP($B61,'Ontario Singles'!D:E,2,FALSE),"")</f>
        <v/>
      </c>
      <c r="I61" s="10"/>
      <c r="J61" s="19">
        <f>IFERROR(LARGE(D61:H61,1),0)+IFERROR(LARGE(D61:H61,2),0)+IFERROR(LARGE(D61:H61,3),0)</f>
        <v>37</v>
      </c>
      <c r="K61" s="20">
        <f>SUM(D61:H61)/C61</f>
        <v>37</v>
      </c>
      <c r="L61" s="21"/>
      <c r="M61" s="2"/>
      <c r="N61" s="2"/>
      <c r="O61" s="36"/>
      <c r="P61" s="10"/>
      <c r="Q61" s="22"/>
      <c r="R61" s="10"/>
    </row>
    <row r="62" spans="1:26" s="8" customFormat="1" ht="18.75" customHeight="1" thickBot="1">
      <c r="A62" s="15">
        <f>RANK(J62,J$5:J$179)</f>
        <v>54</v>
      </c>
      <c r="B62" s="23" t="s">
        <v>537</v>
      </c>
      <c r="C62" s="17">
        <f>COUNT(D62:H62)</f>
        <v>1</v>
      </c>
      <c r="D62" s="26" t="str">
        <f>IFERROR(VLOOKUP($B62,ODCC!S:T,2,FALSE),"")</f>
        <v/>
      </c>
      <c r="E62" s="187" t="str">
        <f>IFERROR(VLOOKUP($B62,Elmira!V:W,2,FALSE),"")</f>
        <v/>
      </c>
      <c r="F62" s="187" t="str">
        <f>IFERROR(VLOOKUP($B62,Chatham!N:O,2,FALSE),"")</f>
        <v/>
      </c>
      <c r="G62" s="187" t="str">
        <f>IFERROR(VLOOKUP($B62,London!AH:AI,2,FALSE),"")</f>
        <v/>
      </c>
      <c r="H62" s="31">
        <f>IFERROR(VLOOKUP($B62,'Ontario Singles'!D:E,2,FALSE),"")</f>
        <v>37</v>
      </c>
      <c r="I62" s="10"/>
      <c r="J62" s="19">
        <f>IFERROR(LARGE(D62:H62,1),0)+IFERROR(LARGE(D62:H62,2),0)+IFERROR(LARGE(D62:H62,3),0)</f>
        <v>37</v>
      </c>
      <c r="K62" s="20">
        <f>SUM(D62:H62)/C62</f>
        <v>37</v>
      </c>
      <c r="M62" s="2"/>
      <c r="N62" s="2"/>
      <c r="O62" s="36"/>
      <c r="P62" s="5"/>
    </row>
    <row r="63" spans="1:26" s="8" customFormat="1" ht="18.75" customHeight="1" thickBot="1">
      <c r="A63" s="15">
        <f>RANK(J63,J$5:J$179)</f>
        <v>59</v>
      </c>
      <c r="B63" s="23" t="s">
        <v>538</v>
      </c>
      <c r="C63" s="17">
        <f>COUNT(D63:H63)</f>
        <v>1</v>
      </c>
      <c r="D63" s="26" t="str">
        <f>IFERROR(VLOOKUP($B63,ODCC!S:T,2,FALSE),"")</f>
        <v/>
      </c>
      <c r="E63" s="187" t="str">
        <f>IFERROR(VLOOKUP($B63,Elmira!V:W,2,FALSE),"")</f>
        <v/>
      </c>
      <c r="F63" s="187" t="str">
        <f>IFERROR(VLOOKUP($B63,Chatham!N:O,2,FALSE),"")</f>
        <v/>
      </c>
      <c r="G63" s="187" t="str">
        <f>IFERROR(VLOOKUP($B63,London!AH:AI,2,FALSE),"")</f>
        <v/>
      </c>
      <c r="H63" s="31">
        <f>IFERROR(VLOOKUP($B63,'Ontario Singles'!D:E,2,FALSE),"")</f>
        <v>36</v>
      </c>
      <c r="I63" s="10"/>
      <c r="J63" s="19">
        <f>IFERROR(LARGE(D63:H63,1),0)+IFERROR(LARGE(D63:H63,2),0)+IFERROR(LARGE(D63:H63,3),0)</f>
        <v>36</v>
      </c>
      <c r="K63" s="20">
        <f>SUM(D63:H63)/C63</f>
        <v>36</v>
      </c>
      <c r="M63" s="2"/>
      <c r="N63" s="2"/>
      <c r="O63" s="36"/>
      <c r="P63" s="5"/>
    </row>
    <row r="64" spans="1:26" s="8" customFormat="1" ht="18.75" customHeight="1" thickBot="1">
      <c r="A64" s="15">
        <f>RANK(J64,J$5:J$179)</f>
        <v>59</v>
      </c>
      <c r="B64" s="23" t="s">
        <v>539</v>
      </c>
      <c r="C64" s="17">
        <f>COUNT(D64:H64)</f>
        <v>1</v>
      </c>
      <c r="D64" s="26" t="str">
        <f>IFERROR(VLOOKUP($B64,ODCC!S:T,2,FALSE),"")</f>
        <v/>
      </c>
      <c r="E64" s="187" t="str">
        <f>IFERROR(VLOOKUP($B64,Elmira!V:W,2,FALSE),"")</f>
        <v/>
      </c>
      <c r="F64" s="187" t="str">
        <f>IFERROR(VLOOKUP($B64,Chatham!N:O,2,FALSE),"")</f>
        <v/>
      </c>
      <c r="G64" s="187" t="str">
        <f>IFERROR(VLOOKUP($B64,London!AH:AI,2,FALSE),"")</f>
        <v/>
      </c>
      <c r="H64" s="31">
        <f>IFERROR(VLOOKUP($B64,'Ontario Singles'!D:E,2,FALSE),"")</f>
        <v>36</v>
      </c>
      <c r="I64" s="10"/>
      <c r="J64" s="19">
        <f>IFERROR(LARGE(D64:H64,1),0)+IFERROR(LARGE(D64:H64,2),0)+IFERROR(LARGE(D64:H64,3),0)</f>
        <v>36</v>
      </c>
      <c r="K64" s="20">
        <f>SUM(D64:H64)/C64</f>
        <v>36</v>
      </c>
      <c r="L64" s="21"/>
      <c r="M64" s="10"/>
      <c r="N64" s="2"/>
      <c r="O64" s="36"/>
      <c r="P64" s="5"/>
      <c r="R64" s="32"/>
      <c r="S64" s="32"/>
      <c r="T64" s="32"/>
      <c r="U64" s="22"/>
    </row>
    <row r="65" spans="1:21" s="8" customFormat="1" ht="18.75" customHeight="1" thickBot="1">
      <c r="A65" s="15">
        <f>RANK(J65,J$5:J$179)</f>
        <v>61</v>
      </c>
      <c r="B65" s="23" t="s">
        <v>399</v>
      </c>
      <c r="C65" s="17">
        <f>COUNT(D65:H65)</f>
        <v>1</v>
      </c>
      <c r="D65" s="26" t="str">
        <f>IFERROR(VLOOKUP($B65,ODCC!S:T,2,FALSE),"")</f>
        <v/>
      </c>
      <c r="E65" s="187" t="str">
        <f>IFERROR(VLOOKUP($B65,Elmira!V:W,2,FALSE),"")</f>
        <v/>
      </c>
      <c r="F65" s="187">
        <f>IFERROR(VLOOKUP($B65,Chatham!N:O,2,FALSE),"")</f>
        <v>33</v>
      </c>
      <c r="G65" s="187" t="str">
        <f>IFERROR(VLOOKUP($B65,London!AH:AI,2,FALSE),"")</f>
        <v/>
      </c>
      <c r="H65" s="31" t="str">
        <f>IFERROR(VLOOKUP($B65,'Ontario Singles'!D:E,2,FALSE),"")</f>
        <v/>
      </c>
      <c r="I65" s="10"/>
      <c r="J65" s="19">
        <f>IFERROR(LARGE(D65:H65,1),0)+IFERROR(LARGE(D65:H65,2),0)+IFERROR(LARGE(D65:H65,3),0)</f>
        <v>33</v>
      </c>
      <c r="K65" s="20">
        <f>SUM(D65:H65)/C65</f>
        <v>33</v>
      </c>
      <c r="M65" s="2"/>
      <c r="N65" s="2"/>
      <c r="O65" s="36"/>
      <c r="P65" s="5"/>
    </row>
    <row r="66" spans="1:21" s="8" customFormat="1" ht="18.75" customHeight="1" thickBot="1">
      <c r="A66" s="15">
        <f>RANK(J66,J$5:J$179)</f>
        <v>62</v>
      </c>
      <c r="B66" s="23" t="s">
        <v>454</v>
      </c>
      <c r="C66" s="17">
        <f>COUNT(D66:H66)</f>
        <v>1</v>
      </c>
      <c r="D66" s="26" t="str">
        <f>IFERROR(VLOOKUP($B66,ODCC!S:T,2,FALSE),"")</f>
        <v/>
      </c>
      <c r="E66" s="187" t="str">
        <f>IFERROR(VLOOKUP($B66,Elmira!V:W,2,FALSE),"")</f>
        <v/>
      </c>
      <c r="F66" s="187" t="str">
        <f>IFERROR(VLOOKUP($B66,Chatham!N:O,2,FALSE),"")</f>
        <v/>
      </c>
      <c r="G66" s="187">
        <f>IFERROR(VLOOKUP($B66,London!AH:AI,2,FALSE),"")</f>
        <v>32</v>
      </c>
      <c r="H66" s="31" t="str">
        <f>IFERROR(VLOOKUP($B66,'Ontario Singles'!D:E,2,FALSE),"")</f>
        <v/>
      </c>
      <c r="I66" s="10"/>
      <c r="J66" s="19">
        <f>IFERROR(LARGE(D66:H66,1),0)+IFERROR(LARGE(D66:H66,2),0)+IFERROR(LARGE(D66:H66,3),0)</f>
        <v>32</v>
      </c>
      <c r="K66" s="20">
        <f>SUM(D66:H66)/C66</f>
        <v>32</v>
      </c>
      <c r="L66" s="21"/>
      <c r="M66" s="2"/>
      <c r="N66" s="2"/>
      <c r="O66" s="22"/>
      <c r="P66" s="5"/>
      <c r="R66" s="32"/>
      <c r="S66" s="32"/>
      <c r="T66" s="32"/>
      <c r="U66" s="22"/>
    </row>
    <row r="67" spans="1:21" s="8" customFormat="1" ht="18.75" customHeight="1" thickBot="1">
      <c r="A67" s="15">
        <f>RANK(J67,J$5:J$179)</f>
        <v>63</v>
      </c>
      <c r="B67" s="23" t="s">
        <v>343</v>
      </c>
      <c r="C67" s="17">
        <f>COUNT(D67:H67)</f>
        <v>1</v>
      </c>
      <c r="D67" s="26" t="str">
        <f>IFERROR(VLOOKUP($B67,ODCC!S:T,2,FALSE),"")</f>
        <v/>
      </c>
      <c r="E67" s="187">
        <f>IFERROR(VLOOKUP($B67,Elmira!V:W,2,FALSE),"")</f>
        <v>31</v>
      </c>
      <c r="F67" s="187" t="str">
        <f>IFERROR(VLOOKUP($B67,Chatham!N:O,2,FALSE),"")</f>
        <v/>
      </c>
      <c r="G67" s="187" t="str">
        <f>IFERROR(VLOOKUP($B67,London!AH:AI,2,FALSE),"")</f>
        <v/>
      </c>
      <c r="H67" s="31" t="str">
        <f>IFERROR(VLOOKUP($B67,'Ontario Singles'!D:E,2,FALSE),"")</f>
        <v/>
      </c>
      <c r="I67" s="30"/>
      <c r="J67" s="19">
        <f>IFERROR(LARGE(D67:H67,1),0)+IFERROR(LARGE(D67:H67,2),0)+IFERROR(LARGE(D67:H67,3),0)</f>
        <v>31</v>
      </c>
      <c r="K67" s="20">
        <f>SUM(D67:H67)/C67</f>
        <v>31</v>
      </c>
      <c r="L67" s="21"/>
      <c r="M67" s="2"/>
      <c r="N67" s="2"/>
      <c r="O67" s="22"/>
      <c r="P67" s="34"/>
      <c r="Q67" s="22"/>
      <c r="R67" s="10"/>
    </row>
    <row r="68" spans="1:21" s="8" customFormat="1" ht="18.75" customHeight="1" thickBot="1">
      <c r="A68" s="15">
        <f>RANK(J68,J$5:J$179)</f>
        <v>63</v>
      </c>
      <c r="B68" s="23" t="s">
        <v>475</v>
      </c>
      <c r="C68" s="17">
        <f>COUNT(D68:H68)</f>
        <v>1</v>
      </c>
      <c r="D68" s="26" t="str">
        <f>IFERROR(VLOOKUP($B68,ODCC!S:T,2,FALSE),"")</f>
        <v/>
      </c>
      <c r="E68" s="187" t="str">
        <f>IFERROR(VLOOKUP($B68,Elmira!V:W,2,FALSE),"")</f>
        <v/>
      </c>
      <c r="F68" s="187" t="str">
        <f>IFERROR(VLOOKUP($B68,Chatham!N:O,2,FALSE),"")</f>
        <v/>
      </c>
      <c r="G68" s="187">
        <f>IFERROR(VLOOKUP($B68,London!AH:AI,2,FALSE),"")</f>
        <v>31</v>
      </c>
      <c r="H68" s="31" t="str">
        <f>IFERROR(VLOOKUP($B68,'Ontario Singles'!D:E,2,FALSE),"")</f>
        <v/>
      </c>
      <c r="I68" s="10"/>
      <c r="J68" s="19">
        <f>IFERROR(LARGE(D68:H68,1),0)+IFERROR(LARGE(D68:H68,2),0)+IFERROR(LARGE(D68:H68,3),0)</f>
        <v>31</v>
      </c>
      <c r="K68" s="20">
        <f>SUM(D68:H68)/C68</f>
        <v>31</v>
      </c>
      <c r="L68" s="21"/>
      <c r="M68" s="2"/>
      <c r="N68" s="2"/>
      <c r="O68" s="36"/>
      <c r="P68" s="5"/>
      <c r="R68" s="32"/>
      <c r="S68" s="32"/>
      <c r="T68" s="32"/>
      <c r="U68" s="22"/>
    </row>
    <row r="69" spans="1:21" s="8" customFormat="1" ht="18.75" customHeight="1" thickBot="1">
      <c r="A69" s="15">
        <f>RANK(J69,J$5:J$179)</f>
        <v>63</v>
      </c>
      <c r="B69" s="23" t="s">
        <v>45</v>
      </c>
      <c r="C69" s="17">
        <f>COUNT(D69:H69)</f>
        <v>1</v>
      </c>
      <c r="D69" s="26" t="str">
        <f>IFERROR(VLOOKUP($B69,ODCC!S:T,2,FALSE),"")</f>
        <v/>
      </c>
      <c r="E69" s="187" t="str">
        <f>IFERROR(VLOOKUP($B69,Elmira!V:W,2,FALSE),"")</f>
        <v/>
      </c>
      <c r="F69" s="187" t="str">
        <f>IFERROR(VLOOKUP($B69,Chatham!N:O,2,FALSE),"")</f>
        <v/>
      </c>
      <c r="G69" s="187" t="str">
        <f>IFERROR(VLOOKUP($B69,London!AH:AI,2,FALSE),"")</f>
        <v/>
      </c>
      <c r="H69" s="31">
        <f>IFERROR(VLOOKUP($B69,'Ontario Singles'!D:E,2,FALSE),"")</f>
        <v>31</v>
      </c>
      <c r="I69" s="10"/>
      <c r="J69" s="19">
        <f>IFERROR(LARGE(D69:H69,1),0)+IFERROR(LARGE(D69:H69,2),0)+IFERROR(LARGE(D69:H69,3),0)</f>
        <v>31</v>
      </c>
      <c r="K69" s="20">
        <f>SUM(D69:H69)/C69</f>
        <v>31</v>
      </c>
      <c r="L69" s="21"/>
      <c r="M69" s="2"/>
      <c r="N69" s="2"/>
      <c r="O69" s="36"/>
      <c r="P69" s="5"/>
      <c r="R69" s="32"/>
      <c r="S69" s="32"/>
      <c r="T69" s="32"/>
      <c r="U69" s="22"/>
    </row>
    <row r="70" spans="1:21" s="8" customFormat="1" ht="18.75" customHeight="1" thickBot="1">
      <c r="A70" s="15">
        <f>RANK(J70,J$5:J$179)</f>
        <v>66</v>
      </c>
      <c r="B70" s="23" t="s">
        <v>350</v>
      </c>
      <c r="C70" s="17">
        <f>COUNT(D70:H70)</f>
        <v>1</v>
      </c>
      <c r="D70" s="26" t="str">
        <f>IFERROR(VLOOKUP($B70,ODCC!S:T,2,FALSE),"")</f>
        <v/>
      </c>
      <c r="E70" s="187">
        <f>IFERROR(VLOOKUP($B70,Elmira!V:W,2,FALSE),"")</f>
        <v>30</v>
      </c>
      <c r="F70" s="187" t="str">
        <f>IFERROR(VLOOKUP($B70,Chatham!N:O,2,FALSE),"")</f>
        <v/>
      </c>
      <c r="G70" s="187" t="str">
        <f>IFERROR(VLOOKUP($B70,London!AH:AI,2,FALSE),"")</f>
        <v/>
      </c>
      <c r="H70" s="31" t="str">
        <f>IFERROR(VLOOKUP($B70,'Ontario Singles'!D:E,2,FALSE),"")</f>
        <v/>
      </c>
      <c r="I70" s="10"/>
      <c r="J70" s="19">
        <f>IFERROR(LARGE(D70:H70,1),0)+IFERROR(LARGE(D70:H70,2),0)+IFERROR(LARGE(D70:H70,3),0)</f>
        <v>30</v>
      </c>
      <c r="K70" s="20">
        <f>SUM(D70:H70)/C70</f>
        <v>30</v>
      </c>
      <c r="L70" s="21"/>
      <c r="M70" s="2"/>
      <c r="N70" s="2"/>
      <c r="O70" s="22"/>
      <c r="P70" s="34"/>
      <c r="Q70" s="22"/>
      <c r="R70" s="10"/>
    </row>
    <row r="71" spans="1:21" s="8" customFormat="1" ht="18.75" customHeight="1" thickBot="1">
      <c r="A71" s="15">
        <f>RANK(J71,J$5:J$179)</f>
        <v>66</v>
      </c>
      <c r="B71" s="23" t="s">
        <v>402</v>
      </c>
      <c r="C71" s="17">
        <f>COUNT(D71:H71)</f>
        <v>1</v>
      </c>
      <c r="D71" s="26" t="str">
        <f>IFERROR(VLOOKUP($B71,ODCC!S:T,2,FALSE),"")</f>
        <v/>
      </c>
      <c r="E71" s="187" t="str">
        <f>IFERROR(VLOOKUP($B71,Elmira!V:W,2,FALSE),"")</f>
        <v/>
      </c>
      <c r="F71" s="187">
        <f>IFERROR(VLOOKUP($B71,Chatham!N:O,2,FALSE),"")</f>
        <v>30</v>
      </c>
      <c r="G71" s="187" t="str">
        <f>IFERROR(VLOOKUP($B71,London!AH:AI,2,FALSE),"")</f>
        <v/>
      </c>
      <c r="H71" s="31" t="str">
        <f>IFERROR(VLOOKUP($B71,'Ontario Singles'!D:E,2,FALSE),"")</f>
        <v/>
      </c>
      <c r="I71" s="10"/>
      <c r="J71" s="19">
        <f>IFERROR(LARGE(D71:H71,1),0)+IFERROR(LARGE(D71:H71,2),0)+IFERROR(LARGE(D71:H71,3),0)</f>
        <v>30</v>
      </c>
      <c r="K71" s="20">
        <f>SUM(D71:H71)/C71</f>
        <v>30</v>
      </c>
      <c r="M71" s="2"/>
      <c r="N71" s="2"/>
      <c r="O71" s="22"/>
      <c r="P71" s="2"/>
      <c r="Q71" s="10"/>
      <c r="R71" s="10"/>
    </row>
    <row r="72" spans="1:21" s="8" customFormat="1" ht="18.75" customHeight="1" thickBot="1">
      <c r="A72" s="15">
        <f>RANK(J72,J$5:J$179)</f>
        <v>68</v>
      </c>
      <c r="B72" s="23" t="s">
        <v>404</v>
      </c>
      <c r="C72" s="17">
        <f>COUNT(D72:H72)</f>
        <v>1</v>
      </c>
      <c r="D72" s="26" t="str">
        <f>IFERROR(VLOOKUP($B72,ODCC!S:T,2,FALSE),"")</f>
        <v/>
      </c>
      <c r="E72" s="187" t="str">
        <f>IFERROR(VLOOKUP($B72,Elmira!V:W,2,FALSE),"")</f>
        <v/>
      </c>
      <c r="F72" s="187">
        <f>IFERROR(VLOOKUP($B72,Chatham!N:O,2,FALSE),"")</f>
        <v>29</v>
      </c>
      <c r="G72" s="187" t="str">
        <f>IFERROR(VLOOKUP($B72,London!AH:AI,2,FALSE),"")</f>
        <v/>
      </c>
      <c r="H72" s="31" t="str">
        <f>IFERROR(VLOOKUP($B72,'Ontario Singles'!D:E,2,FALSE),"")</f>
        <v/>
      </c>
      <c r="I72" s="10"/>
      <c r="J72" s="19">
        <f>IFERROR(LARGE(D72:H72,1),0)+IFERROR(LARGE(D72:H72,2),0)+IFERROR(LARGE(D72:H72,3),0)</f>
        <v>29</v>
      </c>
      <c r="K72" s="20">
        <f>SUM(D72:H72)/C72</f>
        <v>29</v>
      </c>
      <c r="L72" s="21"/>
      <c r="O72" s="36"/>
      <c r="P72" s="28"/>
      <c r="Q72" s="36"/>
      <c r="R72" s="10"/>
    </row>
    <row r="73" spans="1:21" s="8" customFormat="1" ht="18.75" customHeight="1" thickBot="1">
      <c r="A73" s="15">
        <f>RANK(J73,J$5:J$179)</f>
        <v>68</v>
      </c>
      <c r="B73" s="23" t="s">
        <v>460</v>
      </c>
      <c r="C73" s="17">
        <f>COUNT(D73:H73)</f>
        <v>1</v>
      </c>
      <c r="D73" s="26" t="str">
        <f>IFERROR(VLOOKUP($B73,ODCC!S:T,2,FALSE),"")</f>
        <v/>
      </c>
      <c r="E73" s="187" t="str">
        <f>IFERROR(VLOOKUP($B73,Elmira!V:W,2,FALSE),"")</f>
        <v/>
      </c>
      <c r="F73" s="187" t="str">
        <f>IFERROR(VLOOKUP($B73,Chatham!N:O,2,FALSE),"")</f>
        <v/>
      </c>
      <c r="G73" s="187">
        <f>IFERROR(VLOOKUP($B73,London!AH:AI,2,FALSE),"")</f>
        <v>29</v>
      </c>
      <c r="H73" s="31" t="str">
        <f>IFERROR(VLOOKUP($B73,'Ontario Singles'!D:E,2,FALSE),"")</f>
        <v/>
      </c>
      <c r="I73" s="30"/>
      <c r="J73" s="19">
        <f>IFERROR(LARGE(D73:H73,1),0)+IFERROR(LARGE(D73:H73,2),0)+IFERROR(LARGE(D73:H73,3),0)</f>
        <v>29</v>
      </c>
      <c r="K73" s="20">
        <f>SUM(D73:H73)/C73</f>
        <v>29</v>
      </c>
      <c r="L73" s="21"/>
      <c r="M73" s="2"/>
      <c r="N73" s="2"/>
      <c r="O73" s="36"/>
      <c r="P73" s="5"/>
      <c r="R73" s="32"/>
      <c r="S73" s="32"/>
      <c r="T73" s="32"/>
      <c r="U73" s="22"/>
    </row>
    <row r="74" spans="1:21" s="8" customFormat="1" ht="18.75" customHeight="1" thickBot="1">
      <c r="A74" s="15">
        <f>RANK(J74,J$5:J$179)</f>
        <v>68</v>
      </c>
      <c r="B74" s="23" t="s">
        <v>540</v>
      </c>
      <c r="C74" s="17">
        <f>COUNT(D74:H74)</f>
        <v>1</v>
      </c>
      <c r="D74" s="26" t="str">
        <f>IFERROR(VLOOKUP($B74,ODCC!S:T,2,FALSE),"")</f>
        <v/>
      </c>
      <c r="E74" s="187" t="str">
        <f>IFERROR(VLOOKUP($B74,Elmira!V:W,2,FALSE),"")</f>
        <v/>
      </c>
      <c r="F74" s="187" t="str">
        <f>IFERROR(VLOOKUP($B74,Chatham!N:O,2,FALSE),"")</f>
        <v/>
      </c>
      <c r="G74" s="187" t="str">
        <f>IFERROR(VLOOKUP($B74,London!AH:AI,2,FALSE),"")</f>
        <v/>
      </c>
      <c r="H74" s="31">
        <f>IFERROR(VLOOKUP($B74,'Ontario Singles'!D:E,2,FALSE),"")</f>
        <v>29</v>
      </c>
      <c r="I74" s="30"/>
      <c r="J74" s="19">
        <f>IFERROR(LARGE(D74:H74,1),0)+IFERROR(LARGE(D74:H74,2),0)+IFERROR(LARGE(D74:H74,3),0)</f>
        <v>29</v>
      </c>
      <c r="K74" s="20">
        <f>SUM(D74:H74)/C74</f>
        <v>29</v>
      </c>
      <c r="L74" s="21"/>
      <c r="M74" s="2"/>
      <c r="N74" s="2"/>
      <c r="O74" s="36"/>
      <c r="P74" s="5"/>
    </row>
    <row r="75" spans="1:21" s="8" customFormat="1" ht="18.75" customHeight="1" thickBot="1">
      <c r="A75" s="15">
        <f>RANK(J75,J$5:J$179)</f>
        <v>71</v>
      </c>
      <c r="B75" s="23" t="s">
        <v>347</v>
      </c>
      <c r="C75" s="17">
        <f>COUNT(D75:H75)</f>
        <v>1</v>
      </c>
      <c r="D75" s="26" t="str">
        <f>IFERROR(VLOOKUP($B75,ODCC!S:T,2,FALSE),"")</f>
        <v/>
      </c>
      <c r="E75" s="187">
        <f>IFERROR(VLOOKUP($B75,Elmira!V:W,2,FALSE),"")</f>
        <v>28</v>
      </c>
      <c r="F75" s="187" t="str">
        <f>IFERROR(VLOOKUP($B75,Chatham!N:O,2,FALSE),"")</f>
        <v/>
      </c>
      <c r="G75" s="187" t="str">
        <f>IFERROR(VLOOKUP($B75,London!AH:AI,2,FALSE),"")</f>
        <v/>
      </c>
      <c r="H75" s="31" t="str">
        <f>IFERROR(VLOOKUP($B75,'Ontario Singles'!D:E,2,FALSE),"")</f>
        <v/>
      </c>
      <c r="I75" s="30"/>
      <c r="J75" s="19">
        <f>IFERROR(LARGE(D75:H75,1),0)+IFERROR(LARGE(D75:H75,2),0)+IFERROR(LARGE(D75:H75,3),0)</f>
        <v>28</v>
      </c>
      <c r="K75" s="20">
        <f>SUM(D75:H75)/C75</f>
        <v>28</v>
      </c>
      <c r="L75" s="21"/>
    </row>
    <row r="76" spans="1:21" s="8" customFormat="1" ht="18.75" customHeight="1" thickBot="1">
      <c r="A76" s="15">
        <f>RANK(J76,J$5:J$179)</f>
        <v>71</v>
      </c>
      <c r="B76" s="23" t="s">
        <v>456</v>
      </c>
      <c r="C76" s="17">
        <f>COUNT(D76:H76)</f>
        <v>1</v>
      </c>
      <c r="D76" s="26" t="str">
        <f>IFERROR(VLOOKUP($B76,ODCC!S:T,2,FALSE),"")</f>
        <v/>
      </c>
      <c r="E76" s="187" t="str">
        <f>IFERROR(VLOOKUP($B76,Elmira!V:W,2,FALSE),"")</f>
        <v/>
      </c>
      <c r="F76" s="187" t="str">
        <f>IFERROR(VLOOKUP($B76,Chatham!N:O,2,FALSE),"")</f>
        <v/>
      </c>
      <c r="G76" s="187">
        <f>IFERROR(VLOOKUP($B76,London!AH:AI,2,FALSE),"")</f>
        <v>28</v>
      </c>
      <c r="H76" s="31" t="str">
        <f>IFERROR(VLOOKUP($B76,'Ontario Singles'!D:E,2,FALSE),"")</f>
        <v/>
      </c>
      <c r="I76" s="10"/>
      <c r="J76" s="19">
        <f>IFERROR(LARGE(D76:H76,1),0)+IFERROR(LARGE(D76:H76,2),0)+IFERROR(LARGE(D76:H76,3),0)</f>
        <v>28</v>
      </c>
      <c r="K76" s="20">
        <f>SUM(D76:H76)/C76</f>
        <v>28</v>
      </c>
      <c r="L76" s="21"/>
      <c r="M76" s="2"/>
      <c r="N76" s="2"/>
      <c r="O76" s="22"/>
      <c r="P76" s="5"/>
      <c r="R76" s="32"/>
      <c r="S76" s="32"/>
      <c r="T76" s="32"/>
      <c r="U76" s="27"/>
    </row>
    <row r="77" spans="1:21" s="8" customFormat="1" ht="18.75" customHeight="1" thickBot="1">
      <c r="A77" s="15">
        <f>RANK(J77,J$5:J$179)</f>
        <v>73</v>
      </c>
      <c r="B77" s="23" t="s">
        <v>409</v>
      </c>
      <c r="C77" s="17">
        <f>COUNT(D77:H77)</f>
        <v>1</v>
      </c>
      <c r="D77" s="26" t="str">
        <f>IFERROR(VLOOKUP($B77,ODCC!S:T,2,FALSE),"")</f>
        <v/>
      </c>
      <c r="E77" s="187" t="str">
        <f>IFERROR(VLOOKUP($B77,Elmira!V:W,2,FALSE),"")</f>
        <v/>
      </c>
      <c r="F77" s="187">
        <f>IFERROR(VLOOKUP($B77,Chatham!N:O,2,FALSE),"")</f>
        <v>27</v>
      </c>
      <c r="G77" s="187" t="str">
        <f>IFERROR(VLOOKUP($B77,London!AH:AI,2,FALSE),"")</f>
        <v/>
      </c>
      <c r="H77" s="31" t="str">
        <f>IFERROR(VLOOKUP($B77,'Ontario Singles'!D:E,2,FALSE),"")</f>
        <v/>
      </c>
      <c r="I77" s="10"/>
      <c r="J77" s="19">
        <f>IFERROR(LARGE(D77:H77,1),0)+IFERROR(LARGE(D77:H77,2),0)+IFERROR(LARGE(D77:H77,3),0)</f>
        <v>27</v>
      </c>
      <c r="K77" s="20">
        <f>SUM(D77:H77)/C77</f>
        <v>27</v>
      </c>
      <c r="M77" s="2"/>
      <c r="N77" s="2"/>
      <c r="O77" s="22"/>
      <c r="P77" s="2"/>
      <c r="Q77" s="10"/>
      <c r="R77" s="10"/>
    </row>
    <row r="78" spans="1:21" s="8" customFormat="1" ht="18.75" customHeight="1" thickBot="1">
      <c r="A78" s="15">
        <f>RANK(J78,J$5:J$179)</f>
        <v>73</v>
      </c>
      <c r="B78" s="23" t="s">
        <v>428</v>
      </c>
      <c r="C78" s="17">
        <f>COUNT(D78:H78)</f>
        <v>1</v>
      </c>
      <c r="D78" s="26" t="str">
        <f>IFERROR(VLOOKUP($B78,ODCC!S:T,2,FALSE),"")</f>
        <v/>
      </c>
      <c r="E78" s="187" t="str">
        <f>IFERROR(VLOOKUP($B78,Elmira!V:W,2,FALSE),"")</f>
        <v/>
      </c>
      <c r="F78" s="187" t="str">
        <f>IFERROR(VLOOKUP($B78,Chatham!N:O,2,FALSE),"")</f>
        <v/>
      </c>
      <c r="G78" s="187">
        <f>IFERROR(VLOOKUP($B78,London!AH:AI,2,FALSE),"")</f>
        <v>27</v>
      </c>
      <c r="H78" s="31" t="str">
        <f>IFERROR(VLOOKUP($B78,'Ontario Singles'!D:E,2,FALSE),"")</f>
        <v/>
      </c>
      <c r="I78" s="10"/>
      <c r="J78" s="19">
        <f>IFERROR(LARGE(D78:H78,1),0)+IFERROR(LARGE(D78:H78,2),0)+IFERROR(LARGE(D78:H78,3),0)</f>
        <v>27</v>
      </c>
      <c r="K78" s="20">
        <f>SUM(D78:H78)/C78</f>
        <v>27</v>
      </c>
      <c r="L78" s="21"/>
      <c r="M78" s="2"/>
      <c r="N78" s="2"/>
      <c r="O78" s="36"/>
      <c r="P78" s="10"/>
      <c r="Q78" s="22"/>
      <c r="R78" s="10"/>
    </row>
    <row r="79" spans="1:21" s="8" customFormat="1" ht="18.75" customHeight="1" thickBot="1">
      <c r="A79" s="15">
        <f>RANK(J79,J$5:J$179)</f>
        <v>73</v>
      </c>
      <c r="B79" s="23" t="s">
        <v>541</v>
      </c>
      <c r="C79" s="17">
        <f>COUNT(D79:H79)</f>
        <v>1</v>
      </c>
      <c r="D79" s="26" t="str">
        <f>IFERROR(VLOOKUP($B79,ODCC!S:T,2,FALSE),"")</f>
        <v/>
      </c>
      <c r="E79" s="187" t="str">
        <f>IFERROR(VLOOKUP($B79,Elmira!V:W,2,FALSE),"")</f>
        <v/>
      </c>
      <c r="F79" s="187" t="str">
        <f>IFERROR(VLOOKUP($B79,Chatham!N:O,2,FALSE),"")</f>
        <v/>
      </c>
      <c r="G79" s="187" t="str">
        <f>IFERROR(VLOOKUP($B79,London!AH:AI,2,FALSE),"")</f>
        <v/>
      </c>
      <c r="H79" s="31">
        <f>IFERROR(VLOOKUP($B79,'Ontario Singles'!D:E,2,FALSE),"")</f>
        <v>27</v>
      </c>
      <c r="I79" s="10"/>
      <c r="J79" s="19">
        <f>IFERROR(LARGE(D79:H79,1),0)+IFERROR(LARGE(D79:H79,2),0)+IFERROR(LARGE(D79:H79,3),0)</f>
        <v>27</v>
      </c>
      <c r="K79" s="20">
        <f>SUM(D79:H79)/C79</f>
        <v>27</v>
      </c>
      <c r="L79" s="21"/>
      <c r="M79" s="2"/>
      <c r="N79" s="2"/>
      <c r="O79" s="36"/>
      <c r="P79" s="5"/>
      <c r="R79" s="32"/>
      <c r="S79" s="32"/>
      <c r="T79" s="32"/>
      <c r="U79" s="22"/>
    </row>
    <row r="80" spans="1:21" s="8" customFormat="1" ht="18.75" customHeight="1" thickBot="1">
      <c r="A80" s="15">
        <f>RANK(J80,J$5:J$179)</f>
        <v>76</v>
      </c>
      <c r="B80" s="23" t="s">
        <v>353</v>
      </c>
      <c r="C80" s="17">
        <f>COUNT(D80:H80)</f>
        <v>1</v>
      </c>
      <c r="D80" s="26" t="str">
        <f>IFERROR(VLOOKUP($B80,ODCC!S:T,2,FALSE),"")</f>
        <v/>
      </c>
      <c r="E80" s="187">
        <f>IFERROR(VLOOKUP($B80,Elmira!V:W,2,FALSE),"")</f>
        <v>26</v>
      </c>
      <c r="F80" s="187" t="str">
        <f>IFERROR(VLOOKUP($B80,Chatham!N:O,2,FALSE),"")</f>
        <v/>
      </c>
      <c r="G80" s="187" t="str">
        <f>IFERROR(VLOOKUP($B80,London!AH:AI,2,FALSE),"")</f>
        <v/>
      </c>
      <c r="H80" s="31" t="str">
        <f>IFERROR(VLOOKUP($B80,'Ontario Singles'!D:E,2,FALSE),"")</f>
        <v/>
      </c>
      <c r="I80" s="10"/>
      <c r="J80" s="19">
        <f>IFERROR(LARGE(D80:H80,1),0)+IFERROR(LARGE(D80:H80,2),0)+IFERROR(LARGE(D80:H80,3),0)</f>
        <v>26</v>
      </c>
      <c r="K80" s="20">
        <f>SUM(D80:H80)/C80</f>
        <v>26</v>
      </c>
      <c r="L80" s="21"/>
      <c r="M80" s="2"/>
      <c r="N80" s="2"/>
      <c r="O80" s="22"/>
      <c r="P80" s="34"/>
      <c r="Q80" s="22"/>
      <c r="R80" s="10"/>
    </row>
    <row r="81" spans="1:23" s="8" customFormat="1" ht="18.75" customHeight="1" thickBot="1">
      <c r="A81" s="15">
        <f>RANK(J81,J$5:J$179)</f>
        <v>76</v>
      </c>
      <c r="B81" s="23" t="s">
        <v>465</v>
      </c>
      <c r="C81" s="17">
        <f>COUNT(D81:H81)</f>
        <v>1</v>
      </c>
      <c r="D81" s="26" t="str">
        <f>IFERROR(VLOOKUP($B81,ODCC!S:T,2,FALSE),"")</f>
        <v/>
      </c>
      <c r="E81" s="187" t="str">
        <f>IFERROR(VLOOKUP($B81,Elmira!V:W,2,FALSE),"")</f>
        <v/>
      </c>
      <c r="F81" s="187" t="str">
        <f>IFERROR(VLOOKUP($B81,Chatham!N:O,2,FALSE),"")</f>
        <v/>
      </c>
      <c r="G81" s="187">
        <f>IFERROR(VLOOKUP($B81,London!AH:AI,2,FALSE),"")</f>
        <v>26</v>
      </c>
      <c r="H81" s="31" t="str">
        <f>IFERROR(VLOOKUP($B81,'Ontario Singles'!D:E,2,FALSE),"")</f>
        <v/>
      </c>
      <c r="I81" s="10"/>
      <c r="J81" s="19">
        <f>IFERROR(LARGE(D81:H81,1),0)+IFERROR(LARGE(D81:H81,2),0)+IFERROR(LARGE(D81:H81,3),0)</f>
        <v>26</v>
      </c>
      <c r="K81" s="20">
        <f>SUM(D81:H81)/C81</f>
        <v>26</v>
      </c>
      <c r="L81" s="21"/>
      <c r="O81" s="36"/>
      <c r="P81" s="10"/>
      <c r="Q81" s="36"/>
      <c r="R81" s="10"/>
    </row>
    <row r="82" spans="1:23" s="8" customFormat="1" ht="18.75" customHeight="1" thickBot="1">
      <c r="A82" s="15">
        <f>RANK(J82,J$5:J$179)</f>
        <v>78</v>
      </c>
      <c r="B82" s="23" t="s">
        <v>450</v>
      </c>
      <c r="C82" s="17">
        <f>COUNT(D82:H82)</f>
        <v>1</v>
      </c>
      <c r="D82" s="26" t="str">
        <f>IFERROR(VLOOKUP($B82,ODCC!S:T,2,FALSE),"")</f>
        <v/>
      </c>
      <c r="E82" s="187" t="str">
        <f>IFERROR(VLOOKUP($B82,Elmira!V:W,2,FALSE),"")</f>
        <v/>
      </c>
      <c r="F82" s="187" t="str">
        <f>IFERROR(VLOOKUP($B82,Chatham!N:O,2,FALSE),"")</f>
        <v/>
      </c>
      <c r="G82" s="187">
        <f>IFERROR(VLOOKUP($B82,London!AH:AI,2,FALSE),"")</f>
        <v>25</v>
      </c>
      <c r="H82" s="31" t="str">
        <f>IFERROR(VLOOKUP($B82,'Ontario Singles'!D:E,2,FALSE),"")</f>
        <v/>
      </c>
      <c r="I82" s="30"/>
      <c r="J82" s="19">
        <f>IFERROR(LARGE(D82:H82,1),0)+IFERROR(LARGE(D82:H82,2),0)+IFERROR(LARGE(D82:H82,3),0)</f>
        <v>25</v>
      </c>
      <c r="K82" s="20">
        <f>SUM(D82:H82)/C82</f>
        <v>25</v>
      </c>
      <c r="L82" s="21"/>
      <c r="M82" s="2"/>
      <c r="N82" s="2"/>
      <c r="O82" s="22"/>
      <c r="P82" s="34"/>
      <c r="Q82" s="22"/>
      <c r="R82" s="10"/>
    </row>
    <row r="83" spans="1:23" s="8" customFormat="1" ht="18.75" customHeight="1" thickBot="1">
      <c r="A83" s="15">
        <f>RANK(J83,J$5:J$179)</f>
        <v>78</v>
      </c>
      <c r="B83" s="23" t="s">
        <v>542</v>
      </c>
      <c r="C83" s="17">
        <f>COUNT(D83:H83)</f>
        <v>1</v>
      </c>
      <c r="D83" s="26" t="str">
        <f>IFERROR(VLOOKUP($B83,ODCC!S:T,2,FALSE),"")</f>
        <v/>
      </c>
      <c r="E83" s="187" t="str">
        <f>IFERROR(VLOOKUP($B83,Elmira!V:W,2,FALSE),"")</f>
        <v/>
      </c>
      <c r="F83" s="187" t="str">
        <f>IFERROR(VLOOKUP($B83,Chatham!N:O,2,FALSE),"")</f>
        <v/>
      </c>
      <c r="G83" s="187" t="str">
        <f>IFERROR(VLOOKUP($B83,London!AH:AI,2,FALSE),"")</f>
        <v/>
      </c>
      <c r="H83" s="31">
        <f>IFERROR(VLOOKUP($B83,'Ontario Singles'!D:E,2,FALSE),"")</f>
        <v>25</v>
      </c>
      <c r="I83" s="10"/>
      <c r="J83" s="19">
        <f>IFERROR(LARGE(D83:H83,1),0)+IFERROR(LARGE(D83:H83,2),0)+IFERROR(LARGE(D83:H83,3),0)</f>
        <v>25</v>
      </c>
      <c r="K83" s="20">
        <f>SUM(D83:H83)/C83</f>
        <v>25</v>
      </c>
      <c r="L83" s="21"/>
      <c r="M83" s="10"/>
      <c r="N83" s="2"/>
      <c r="O83" s="36"/>
      <c r="P83" s="5"/>
      <c r="R83" s="32"/>
      <c r="S83" s="32"/>
      <c r="T83" s="32"/>
      <c r="U83" s="22"/>
    </row>
    <row r="84" spans="1:23" s="8" customFormat="1" ht="18.75" customHeight="1" thickBot="1">
      <c r="A84" s="15">
        <f>RANK(J84,J$5:J$179)</f>
        <v>80</v>
      </c>
      <c r="B84" s="23" t="s">
        <v>359</v>
      </c>
      <c r="C84" s="17">
        <f>COUNT(D84:H84)</f>
        <v>1</v>
      </c>
      <c r="D84" s="26" t="str">
        <f>IFERROR(VLOOKUP($B84,ODCC!S:T,2,FALSE),"")</f>
        <v/>
      </c>
      <c r="E84" s="187">
        <f>IFERROR(VLOOKUP($B84,Elmira!V:W,2,FALSE),"")</f>
        <v>24</v>
      </c>
      <c r="F84" s="187" t="str">
        <f>IFERROR(VLOOKUP($B84,Chatham!N:O,2,FALSE),"")</f>
        <v/>
      </c>
      <c r="G84" s="187" t="str">
        <f>IFERROR(VLOOKUP($B84,London!AH:AI,2,FALSE),"")</f>
        <v/>
      </c>
      <c r="H84" s="31" t="str">
        <f>IFERROR(VLOOKUP($B84,'Ontario Singles'!D:E,2,FALSE),"")</f>
        <v/>
      </c>
      <c r="I84" s="37"/>
      <c r="J84" s="19">
        <f>IFERROR(LARGE(D84:H84,1),0)+IFERROR(LARGE(D84:H84,2),0)+IFERROR(LARGE(D84:H84,3),0)</f>
        <v>24</v>
      </c>
      <c r="K84" s="20">
        <f>SUM(D84:H84)/C84</f>
        <v>24</v>
      </c>
      <c r="L84" s="21"/>
      <c r="M84" s="21"/>
      <c r="N84" s="35"/>
      <c r="O84" s="21"/>
      <c r="P84" s="21"/>
      <c r="Q84" s="21"/>
      <c r="R84" s="21"/>
      <c r="S84" s="21"/>
      <c r="T84" s="21"/>
      <c r="U84" s="21"/>
      <c r="V84" s="21"/>
      <c r="W84" s="10"/>
    </row>
    <row r="85" spans="1:23" s="8" customFormat="1" ht="18.75" customHeight="1" thickBot="1">
      <c r="A85" s="15">
        <f>RANK(J85,J$5:J$179)</f>
        <v>81</v>
      </c>
      <c r="B85" s="23" t="s">
        <v>407</v>
      </c>
      <c r="C85" s="17">
        <f>COUNT(D85:H85)</f>
        <v>1</v>
      </c>
      <c r="D85" s="26" t="str">
        <f>IFERROR(VLOOKUP($B85,ODCC!S:T,2,FALSE),"")</f>
        <v/>
      </c>
      <c r="E85" s="187" t="str">
        <f>IFERROR(VLOOKUP($B85,Elmira!V:W,2,FALSE),"")</f>
        <v/>
      </c>
      <c r="F85" s="187">
        <f>IFERROR(VLOOKUP($B85,Chatham!N:O,2,FALSE),"")</f>
        <v>23</v>
      </c>
      <c r="G85" s="187" t="str">
        <f>IFERROR(VLOOKUP($B85,London!AH:AI,2,FALSE),"")</f>
        <v/>
      </c>
      <c r="H85" s="31" t="str">
        <f>IFERROR(VLOOKUP($B85,'Ontario Singles'!D:E,2,FALSE),"")</f>
        <v/>
      </c>
      <c r="I85" s="30"/>
      <c r="J85" s="19">
        <f>IFERROR(LARGE(D85:H85,1),0)+IFERROR(LARGE(D85:H85,2),0)+IFERROR(LARGE(D85:H85,3),0)</f>
        <v>23</v>
      </c>
      <c r="K85" s="20">
        <f>SUM(D85:H85)/C85</f>
        <v>23</v>
      </c>
      <c r="L85" s="21"/>
      <c r="O85" s="22"/>
      <c r="P85" s="2"/>
      <c r="Q85" s="10"/>
      <c r="R85" s="10"/>
    </row>
    <row r="86" spans="1:23" s="8" customFormat="1" ht="18.75" customHeight="1" thickBot="1">
      <c r="A86" s="15">
        <f>RANK(J86,J$5:J$179)</f>
        <v>81</v>
      </c>
      <c r="B86" s="23" t="s">
        <v>452</v>
      </c>
      <c r="C86" s="17">
        <f>COUNT(D86:H86)</f>
        <v>1</v>
      </c>
      <c r="D86" s="26" t="str">
        <f>IFERROR(VLOOKUP($B86,ODCC!S:T,2,FALSE),"")</f>
        <v/>
      </c>
      <c r="E86" s="187" t="str">
        <f>IFERROR(VLOOKUP($B86,Elmira!V:W,2,FALSE),"")</f>
        <v/>
      </c>
      <c r="F86" s="187" t="str">
        <f>IFERROR(VLOOKUP($B86,Chatham!N:O,2,FALSE),"")</f>
        <v/>
      </c>
      <c r="G86" s="187">
        <f>IFERROR(VLOOKUP($B86,London!AH:AI,2,FALSE),"")</f>
        <v>23</v>
      </c>
      <c r="H86" s="31" t="str">
        <f>IFERROR(VLOOKUP($B86,'Ontario Singles'!D:E,2,FALSE),"")</f>
        <v/>
      </c>
      <c r="I86" s="30"/>
      <c r="J86" s="19">
        <f>IFERROR(LARGE(D86:H86,1),0)+IFERROR(LARGE(D86:H86,2),0)+IFERROR(LARGE(D86:H86,3),0)</f>
        <v>23</v>
      </c>
      <c r="K86" s="20">
        <f>SUM(D86:H86)/C86</f>
        <v>23</v>
      </c>
      <c r="L86" s="21"/>
    </row>
    <row r="87" spans="1:23" s="8" customFormat="1" ht="18.75" customHeight="1" thickBot="1">
      <c r="A87" s="15">
        <f>RANK(J87,J$5:J$179)</f>
        <v>83</v>
      </c>
      <c r="B87" s="23" t="s">
        <v>355</v>
      </c>
      <c r="C87" s="17">
        <f>COUNT(D87:H87)</f>
        <v>1</v>
      </c>
      <c r="D87" s="26" t="str">
        <f>IFERROR(VLOOKUP($B87,ODCC!S:T,2,FALSE),"")</f>
        <v/>
      </c>
      <c r="E87" s="187">
        <f>IFERROR(VLOOKUP($B87,Elmira!V:W,2,FALSE),"")</f>
        <v>22</v>
      </c>
      <c r="F87" s="187" t="str">
        <f>IFERROR(VLOOKUP($B87,Chatham!N:O,2,FALSE),"")</f>
        <v/>
      </c>
      <c r="G87" s="187" t="str">
        <f>IFERROR(VLOOKUP($B87,London!AH:AI,2,FALSE),"")</f>
        <v/>
      </c>
      <c r="H87" s="31" t="str">
        <f>IFERROR(VLOOKUP($B87,'Ontario Singles'!D:E,2,FALSE),"")</f>
        <v/>
      </c>
      <c r="I87" s="10"/>
      <c r="J87" s="19">
        <f>IFERROR(LARGE(D87:H87,1),0)+IFERROR(LARGE(D87:H87,2),0)+IFERROR(LARGE(D87:H87,3),0)</f>
        <v>22</v>
      </c>
      <c r="K87" s="20">
        <f>SUM(D87:H87)/C87</f>
        <v>22</v>
      </c>
      <c r="M87" s="2"/>
      <c r="N87" s="2"/>
      <c r="O87" s="22"/>
      <c r="P87" s="28"/>
      <c r="Q87" s="22"/>
      <c r="R87" s="10"/>
    </row>
    <row r="88" spans="1:23" s="8" customFormat="1" ht="18.75" customHeight="1" thickBot="1">
      <c r="A88" s="15">
        <f>RANK(J88,J$5:J$179)</f>
        <v>83</v>
      </c>
      <c r="B88" s="23" t="s">
        <v>53</v>
      </c>
      <c r="C88" s="17">
        <f>COUNT(D88:H88)</f>
        <v>1</v>
      </c>
      <c r="D88" s="26" t="str">
        <f>IFERROR(VLOOKUP($B88,ODCC!S:T,2,FALSE),"")</f>
        <v/>
      </c>
      <c r="E88" s="187" t="str">
        <f>IFERROR(VLOOKUP($B88,Elmira!V:W,2,FALSE),"")</f>
        <v/>
      </c>
      <c r="F88" s="187" t="str">
        <f>IFERROR(VLOOKUP($B88,Chatham!N:O,2,FALSE),"")</f>
        <v/>
      </c>
      <c r="G88" s="187">
        <f>IFERROR(VLOOKUP($B88,London!AH:AI,2,FALSE),"")</f>
        <v>22</v>
      </c>
      <c r="H88" s="31" t="str">
        <f>IFERROR(VLOOKUP($B88,'Ontario Singles'!D:E,2,FALSE),"")</f>
        <v/>
      </c>
      <c r="I88" s="28"/>
      <c r="J88" s="19">
        <f>IFERROR(LARGE(D88:H88,1),0)+IFERROR(LARGE(D88:H88,2),0)+IFERROR(LARGE(D88:H88,3),0)</f>
        <v>22</v>
      </c>
      <c r="K88" s="20">
        <f>SUM(D88:H88)/C88</f>
        <v>22</v>
      </c>
      <c r="M88" s="2"/>
      <c r="N88" s="2"/>
      <c r="O88" s="22"/>
      <c r="P88" s="28"/>
      <c r="Q88" s="22"/>
      <c r="R88" s="10"/>
    </row>
    <row r="89" spans="1:23" s="8" customFormat="1" ht="18.75" customHeight="1" thickBot="1">
      <c r="A89" s="15">
        <f>RANK(J89,J$5:J$179)</f>
        <v>83</v>
      </c>
      <c r="B89" s="23" t="s">
        <v>451</v>
      </c>
      <c r="C89" s="17">
        <f>COUNT(D89:H89)</f>
        <v>1</v>
      </c>
      <c r="D89" s="26" t="str">
        <f>IFERROR(VLOOKUP($B89,ODCC!S:T,2,FALSE),"")</f>
        <v/>
      </c>
      <c r="E89" s="187" t="str">
        <f>IFERROR(VLOOKUP($B89,Elmira!V:W,2,FALSE),"")</f>
        <v/>
      </c>
      <c r="F89" s="187" t="str">
        <f>IFERROR(VLOOKUP($B89,Chatham!N:O,2,FALSE),"")</f>
        <v/>
      </c>
      <c r="G89" s="187">
        <f>IFERROR(VLOOKUP($B89,London!AH:AI,2,FALSE),"")</f>
        <v>22</v>
      </c>
      <c r="H89" s="31" t="str">
        <f>IFERROR(VLOOKUP($B89,'Ontario Singles'!D:E,2,FALSE),"")</f>
        <v/>
      </c>
      <c r="I89" s="10"/>
      <c r="J89" s="19">
        <f>IFERROR(LARGE(D89:H89,1),0)+IFERROR(LARGE(D89:H89,2),0)+IFERROR(LARGE(D89:H89,3),0)</f>
        <v>22</v>
      </c>
      <c r="K89" s="20">
        <f>SUM(D89:H89)/C89</f>
        <v>22</v>
      </c>
      <c r="L89" s="21"/>
      <c r="M89" s="2"/>
      <c r="N89" s="2"/>
      <c r="O89" s="36"/>
      <c r="P89" s="10"/>
      <c r="Q89" s="22"/>
      <c r="R89" s="10"/>
    </row>
    <row r="90" spans="1:23" s="8" customFormat="1" ht="18.75" customHeight="1" thickBot="1">
      <c r="A90" s="15">
        <f>RANK(J90,J$5:J$179)</f>
        <v>86</v>
      </c>
      <c r="B90" s="23" t="s">
        <v>361</v>
      </c>
      <c r="C90" s="17">
        <f>COUNT(D90:H90)</f>
        <v>1</v>
      </c>
      <c r="D90" s="26" t="str">
        <f>IFERROR(VLOOKUP($B90,ODCC!S:T,2,FALSE),"")</f>
        <v/>
      </c>
      <c r="E90" s="187">
        <f>IFERROR(VLOOKUP($B90,Elmira!V:W,2,FALSE),"")</f>
        <v>21</v>
      </c>
      <c r="F90" s="187" t="str">
        <f>IFERROR(VLOOKUP($B90,Chatham!N:O,2,FALSE),"")</f>
        <v/>
      </c>
      <c r="G90" s="187" t="str">
        <f>IFERROR(VLOOKUP($B90,London!AH:AI,2,FALSE),"")</f>
        <v/>
      </c>
      <c r="H90" s="31" t="str">
        <f>IFERROR(VLOOKUP($B90,'Ontario Singles'!D:E,2,FALSE),"")</f>
        <v/>
      </c>
      <c r="I90" s="10"/>
      <c r="J90" s="19">
        <f>IFERROR(LARGE(D90:H90,1),0)+IFERROR(LARGE(D90:H90,2),0)+IFERROR(LARGE(D90:H90,3),0)</f>
        <v>21</v>
      </c>
      <c r="K90" s="20">
        <f>SUM(D90:H90)/C90</f>
        <v>21</v>
      </c>
      <c r="M90" s="2"/>
      <c r="N90" s="2"/>
      <c r="O90" s="22"/>
      <c r="P90" s="28"/>
      <c r="Q90" s="22"/>
      <c r="R90" s="10"/>
    </row>
    <row r="91" spans="1:23" s="8" customFormat="1" ht="18.75" customHeight="1" thickBot="1">
      <c r="A91" s="15">
        <f>RANK(J91,J$5:J$179)</f>
        <v>86</v>
      </c>
      <c r="B91" s="23" t="s">
        <v>412</v>
      </c>
      <c r="C91" s="17">
        <f>COUNT(D91:H91)</f>
        <v>1</v>
      </c>
      <c r="D91" s="26" t="str">
        <f>IFERROR(VLOOKUP($B91,ODCC!S:T,2,FALSE),"")</f>
        <v/>
      </c>
      <c r="E91" s="187" t="str">
        <f>IFERROR(VLOOKUP($B91,Elmira!V:W,2,FALSE),"")</f>
        <v/>
      </c>
      <c r="F91" s="187">
        <f>IFERROR(VLOOKUP($B91,Chatham!N:O,2,FALSE),"")</f>
        <v>21</v>
      </c>
      <c r="G91" s="187" t="str">
        <f>IFERROR(VLOOKUP($B91,London!AH:AI,2,FALSE),"")</f>
        <v/>
      </c>
      <c r="H91" s="31" t="str">
        <f>IFERROR(VLOOKUP($B91,'Ontario Singles'!D:E,2,FALSE),"")</f>
        <v/>
      </c>
      <c r="I91" s="30"/>
      <c r="J91" s="19">
        <f>IFERROR(LARGE(D91:H91,1),0)+IFERROR(LARGE(D91:H91,2),0)+IFERROR(LARGE(D91:H91,3),0)</f>
        <v>21</v>
      </c>
      <c r="K91" s="20">
        <f>SUM(D91:H91)/C91</f>
        <v>21</v>
      </c>
      <c r="L91" s="21"/>
      <c r="O91" s="36"/>
      <c r="P91" s="10"/>
      <c r="Q91" s="36"/>
      <c r="R91" s="10"/>
    </row>
    <row r="92" spans="1:23" s="8" customFormat="1" ht="18.75" customHeight="1" thickBot="1">
      <c r="A92" s="15">
        <f>RANK(J92,J$5:J$179)</f>
        <v>86</v>
      </c>
      <c r="B92" s="23" t="s">
        <v>446</v>
      </c>
      <c r="C92" s="17">
        <f>COUNT(D92:H92)</f>
        <v>1</v>
      </c>
      <c r="D92" s="26" t="str">
        <f>IFERROR(VLOOKUP($B92,ODCC!S:T,2,FALSE),"")</f>
        <v/>
      </c>
      <c r="E92" s="187" t="str">
        <f>IFERROR(VLOOKUP($B92,Elmira!V:W,2,FALSE),"")</f>
        <v/>
      </c>
      <c r="F92" s="187" t="str">
        <f>IFERROR(VLOOKUP($B92,Chatham!N:O,2,FALSE),"")</f>
        <v/>
      </c>
      <c r="G92" s="187">
        <f>IFERROR(VLOOKUP($B92,London!AH:AI,2,FALSE),"")</f>
        <v>21</v>
      </c>
      <c r="H92" s="31" t="str">
        <f>IFERROR(VLOOKUP($B92,'Ontario Singles'!D:E,2,FALSE),"")</f>
        <v/>
      </c>
      <c r="I92" s="30"/>
      <c r="J92" s="19">
        <f>IFERROR(LARGE(D92:H92,1),0)+IFERROR(LARGE(D92:H92,2),0)+IFERROR(LARGE(D92:H92,3),0)</f>
        <v>21</v>
      </c>
      <c r="K92" s="20">
        <f>SUM(D92:H92)/C92</f>
        <v>21</v>
      </c>
      <c r="L92" s="21"/>
    </row>
    <row r="93" spans="1:23" s="8" customFormat="1" ht="18.75" customHeight="1" thickBot="1">
      <c r="A93" s="15">
        <f>RANK(J93,J$5:J$179)</f>
        <v>89</v>
      </c>
      <c r="B93" s="23" t="s">
        <v>358</v>
      </c>
      <c r="C93" s="17">
        <f>COUNT(D93:H93)</f>
        <v>1</v>
      </c>
      <c r="D93" s="26" t="str">
        <f>IFERROR(VLOOKUP($B93,ODCC!S:T,2,FALSE),"")</f>
        <v/>
      </c>
      <c r="E93" s="187">
        <f>IFERROR(VLOOKUP($B93,Elmira!V:W,2,FALSE),"")</f>
        <v>20</v>
      </c>
      <c r="F93" s="187" t="str">
        <f>IFERROR(VLOOKUP($B93,Chatham!N:O,2,FALSE),"")</f>
        <v/>
      </c>
      <c r="G93" s="187" t="str">
        <f>IFERROR(VLOOKUP($B93,London!AH:AI,2,FALSE),"")</f>
        <v/>
      </c>
      <c r="H93" s="31" t="str">
        <f>IFERROR(VLOOKUP($B93,'Ontario Singles'!D:E,2,FALSE),"")</f>
        <v/>
      </c>
      <c r="I93" s="30"/>
      <c r="J93" s="19">
        <f>IFERROR(LARGE(D93:H93,1),0)+IFERROR(LARGE(D93:H93,2),0)+IFERROR(LARGE(D93:H93,3),0)</f>
        <v>20</v>
      </c>
      <c r="K93" s="20">
        <f>SUM(D93:H93)/C93</f>
        <v>20</v>
      </c>
      <c r="M93" s="2"/>
      <c r="N93" s="2"/>
      <c r="O93" s="22"/>
      <c r="P93" s="28"/>
      <c r="Q93" s="22"/>
      <c r="R93" s="10"/>
    </row>
    <row r="94" spans="1:23" s="8" customFormat="1" ht="18.75" customHeight="1" thickBot="1">
      <c r="A94" s="15">
        <f>RANK(J94,J$5:J$179)</f>
        <v>89</v>
      </c>
      <c r="B94" s="23" t="s">
        <v>408</v>
      </c>
      <c r="C94" s="17">
        <f>COUNT(D94:H94)</f>
        <v>1</v>
      </c>
      <c r="D94" s="26" t="str">
        <f>IFERROR(VLOOKUP($B94,ODCC!S:T,2,FALSE),"")</f>
        <v/>
      </c>
      <c r="E94" s="187" t="str">
        <f>IFERROR(VLOOKUP($B94,Elmira!V:W,2,FALSE),"")</f>
        <v/>
      </c>
      <c r="F94" s="187">
        <f>IFERROR(VLOOKUP($B94,Chatham!N:O,2,FALSE),"")</f>
        <v>20</v>
      </c>
      <c r="G94" s="187" t="str">
        <f>IFERROR(VLOOKUP($B94,London!AH:AI,2,FALSE),"")</f>
        <v/>
      </c>
      <c r="H94" s="31" t="str">
        <f>IFERROR(VLOOKUP($B94,'Ontario Singles'!D:E,2,FALSE),"")</f>
        <v/>
      </c>
      <c r="I94" s="10"/>
      <c r="J94" s="19">
        <f>IFERROR(LARGE(D94:H94,1),0)+IFERROR(LARGE(D94:H94,2),0)+IFERROR(LARGE(D94:H94,3),0)</f>
        <v>20</v>
      </c>
      <c r="K94" s="20">
        <f>SUM(D94:H94)/C94</f>
        <v>20</v>
      </c>
      <c r="L94" s="21"/>
      <c r="M94" s="2"/>
      <c r="N94" s="2"/>
      <c r="O94" s="36"/>
      <c r="P94" s="10"/>
      <c r="Q94" s="22"/>
      <c r="R94" s="10"/>
    </row>
    <row r="95" spans="1:23" s="8" customFormat="1" ht="18.75" customHeight="1" thickBot="1">
      <c r="A95" s="15">
        <f>RANK(J95,J$5:J$179)</f>
        <v>89</v>
      </c>
      <c r="B95" s="23" t="s">
        <v>413</v>
      </c>
      <c r="C95" s="17">
        <f>COUNT(D95:H95)</f>
        <v>1</v>
      </c>
      <c r="D95" s="26" t="str">
        <f>IFERROR(VLOOKUP($B95,ODCC!S:T,2,FALSE),"")</f>
        <v/>
      </c>
      <c r="E95" s="187" t="str">
        <f>IFERROR(VLOOKUP($B95,Elmira!V:W,2,FALSE),"")</f>
        <v/>
      </c>
      <c r="F95" s="187">
        <f>IFERROR(VLOOKUP($B95,Chatham!N:O,2,FALSE),"")</f>
        <v>20</v>
      </c>
      <c r="G95" s="187" t="str">
        <f>IFERROR(VLOOKUP($B95,London!AH:AI,2,FALSE),"")</f>
        <v/>
      </c>
      <c r="H95" s="31" t="str">
        <f>IFERROR(VLOOKUP($B95,'Ontario Singles'!D:E,2,FALSE),"")</f>
        <v/>
      </c>
      <c r="I95" s="10"/>
      <c r="J95" s="19">
        <f>IFERROR(LARGE(D95:H95,1),0)+IFERROR(LARGE(D95:H95,2),0)+IFERROR(LARGE(D95:H95,3),0)</f>
        <v>20</v>
      </c>
      <c r="K95" s="20">
        <f>SUM(D95:H95)/C95</f>
        <v>20</v>
      </c>
      <c r="L95" s="21"/>
      <c r="M95" s="2"/>
      <c r="N95" s="2"/>
      <c r="O95" s="22"/>
      <c r="P95" s="2"/>
      <c r="Q95" s="10"/>
      <c r="R95" s="32"/>
      <c r="S95" s="32"/>
      <c r="T95" s="32"/>
      <c r="U95" s="22"/>
    </row>
    <row r="96" spans="1:23" s="8" customFormat="1" ht="24" thickBot="1">
      <c r="A96" s="15">
        <f>RANK(J96,J$5:J$179)</f>
        <v>89</v>
      </c>
      <c r="B96" s="23" t="s">
        <v>459</v>
      </c>
      <c r="C96" s="17">
        <f>COUNT(D96:H96)</f>
        <v>1</v>
      </c>
      <c r="D96" s="26" t="str">
        <f>IFERROR(VLOOKUP($B96,ODCC!S:T,2,FALSE),"")</f>
        <v/>
      </c>
      <c r="E96" s="187" t="str">
        <f>IFERROR(VLOOKUP($B96,Elmira!V:W,2,FALSE),"")</f>
        <v/>
      </c>
      <c r="F96" s="187" t="str">
        <f>IFERROR(VLOOKUP($B96,Chatham!N:O,2,FALSE),"")</f>
        <v/>
      </c>
      <c r="G96" s="187">
        <f>IFERROR(VLOOKUP($B96,London!AH:AI,2,FALSE),"")</f>
        <v>20</v>
      </c>
      <c r="H96" s="31" t="str">
        <f>IFERROR(VLOOKUP($B96,'Ontario Singles'!D:E,2,FALSE),"")</f>
        <v/>
      </c>
      <c r="I96" s="10"/>
      <c r="J96" s="19">
        <f>IFERROR(LARGE(D96:H96,1),0)+IFERROR(LARGE(D96:H96,2),0)+IFERROR(LARGE(D96:H96,3),0)</f>
        <v>20</v>
      </c>
      <c r="K96" s="20">
        <f>SUM(D96:H96)/C96</f>
        <v>20</v>
      </c>
      <c r="M96" s="2"/>
      <c r="N96" s="2"/>
      <c r="O96" s="36"/>
      <c r="P96" s="28"/>
      <c r="Q96" s="22"/>
      <c r="R96" s="10"/>
    </row>
    <row r="97" spans="1:18" s="8" customFormat="1" ht="24" thickBot="1">
      <c r="A97" s="15">
        <f>RANK(J97,J$5:J$179)</f>
        <v>89</v>
      </c>
      <c r="B97" s="23" t="s">
        <v>466</v>
      </c>
      <c r="C97" s="17">
        <f>COUNT(D97:H97)</f>
        <v>1</v>
      </c>
      <c r="D97" s="26" t="str">
        <f>IFERROR(VLOOKUP($B97,ODCC!S:T,2,FALSE),"")</f>
        <v/>
      </c>
      <c r="E97" s="187" t="str">
        <f>IFERROR(VLOOKUP($B97,Elmira!V:W,2,FALSE),"")</f>
        <v/>
      </c>
      <c r="F97" s="187" t="str">
        <f>IFERROR(VLOOKUP($B97,Chatham!N:O,2,FALSE),"")</f>
        <v/>
      </c>
      <c r="G97" s="187">
        <f>IFERROR(VLOOKUP($B97,London!AH:AI,2,FALSE),"")</f>
        <v>20</v>
      </c>
      <c r="H97" s="31" t="str">
        <f>IFERROR(VLOOKUP($B97,'Ontario Singles'!D:E,2,FALSE),"")</f>
        <v/>
      </c>
      <c r="I97" s="10"/>
      <c r="J97" s="19">
        <f>IFERROR(LARGE(D97:H97,1),0)+IFERROR(LARGE(D97:H97,2),0)+IFERROR(LARGE(D97:H97,3),0)</f>
        <v>20</v>
      </c>
      <c r="K97" s="20">
        <f>SUM(D97:H97)/C97</f>
        <v>20</v>
      </c>
      <c r="L97" s="21"/>
      <c r="M97" s="2"/>
      <c r="N97" s="2"/>
      <c r="O97" s="36"/>
      <c r="P97" s="10"/>
      <c r="Q97" s="22"/>
      <c r="R97" s="10"/>
    </row>
    <row r="98" spans="1:18" s="8" customFormat="1" ht="24" thickBot="1">
      <c r="A98" s="15">
        <f>RANK(J98,J$5:J$179)</f>
        <v>89</v>
      </c>
      <c r="B98" s="23" t="s">
        <v>433</v>
      </c>
      <c r="C98" s="17">
        <f>COUNT(D98:H98)</f>
        <v>1</v>
      </c>
      <c r="D98" s="26" t="str">
        <f>IFERROR(VLOOKUP($B98,ODCC!S:T,2,FALSE),"")</f>
        <v/>
      </c>
      <c r="E98" s="187" t="str">
        <f>IFERROR(VLOOKUP($B98,Elmira!V:W,2,FALSE),"")</f>
        <v/>
      </c>
      <c r="F98" s="187" t="str">
        <f>IFERROR(VLOOKUP($B98,Chatham!N:O,2,FALSE),"")</f>
        <v/>
      </c>
      <c r="G98" s="187">
        <f>IFERROR(VLOOKUP($B98,London!AH:AI,2,FALSE),"")</f>
        <v>20</v>
      </c>
      <c r="H98" s="31" t="str">
        <f>IFERROR(VLOOKUP($B98,'Ontario Singles'!D:E,2,FALSE),"")</f>
        <v/>
      </c>
      <c r="I98" s="10"/>
      <c r="J98" s="19">
        <f>IFERROR(LARGE(D98:H98,1),0)+IFERROR(LARGE(D98:H98,2),0)+IFERROR(LARGE(D98:H98,3),0)</f>
        <v>20</v>
      </c>
      <c r="K98" s="20">
        <f>SUM(D98:H98)/C98</f>
        <v>20</v>
      </c>
      <c r="L98" s="21"/>
    </row>
    <row r="99" spans="1:18" s="8" customFormat="1" ht="24" thickBot="1">
      <c r="A99" s="15">
        <f>RANK(J99,J$5:J$179)</f>
        <v>89</v>
      </c>
      <c r="B99" s="23" t="s">
        <v>455</v>
      </c>
      <c r="C99" s="17">
        <f>COUNT(D99:H99)</f>
        <v>1</v>
      </c>
      <c r="D99" s="26" t="str">
        <f>IFERROR(VLOOKUP($B99,ODCC!S:T,2,FALSE),"")</f>
        <v/>
      </c>
      <c r="E99" s="187" t="str">
        <f>IFERROR(VLOOKUP($B99,Elmira!V:W,2,FALSE),"")</f>
        <v/>
      </c>
      <c r="F99" s="187" t="str">
        <f>IFERROR(VLOOKUP($B99,Chatham!N:O,2,FALSE),"")</f>
        <v/>
      </c>
      <c r="G99" s="187">
        <f>IFERROR(VLOOKUP($B99,London!AH:AI,2,FALSE),"")</f>
        <v>20</v>
      </c>
      <c r="H99" s="31" t="str">
        <f>IFERROR(VLOOKUP($B99,'Ontario Singles'!D:E,2,FALSE),"")</f>
        <v/>
      </c>
      <c r="I99" s="10"/>
      <c r="J99" s="19">
        <f>IFERROR(LARGE(D99:H99,1),0)+IFERROR(LARGE(D99:H99,2),0)+IFERROR(LARGE(D99:H99,3),0)</f>
        <v>20</v>
      </c>
      <c r="K99" s="20">
        <f>SUM(D99:H99)/C99</f>
        <v>20</v>
      </c>
      <c r="L99" s="21"/>
      <c r="M99" s="2"/>
      <c r="N99" s="2"/>
      <c r="O99" s="36"/>
      <c r="P99" s="10"/>
      <c r="Q99" s="22"/>
      <c r="R99" s="10"/>
    </row>
    <row r="100" spans="1:18" s="8" customFormat="1" ht="24" thickBot="1">
      <c r="A100" s="15">
        <f>RANK(J100,J$5:J$179)</f>
        <v>89</v>
      </c>
      <c r="B100" s="23" t="s">
        <v>435</v>
      </c>
      <c r="C100" s="17">
        <f>COUNT(D100:H100)</f>
        <v>1</v>
      </c>
      <c r="D100" s="26" t="str">
        <f>IFERROR(VLOOKUP($B100,ODCC!S:T,2,FALSE),"")</f>
        <v/>
      </c>
      <c r="E100" s="187" t="str">
        <f>IFERROR(VLOOKUP($B100,Elmira!V:W,2,FALSE),"")</f>
        <v/>
      </c>
      <c r="F100" s="187" t="str">
        <f>IFERROR(VLOOKUP($B100,Chatham!N:O,2,FALSE),"")</f>
        <v/>
      </c>
      <c r="G100" s="187">
        <f>IFERROR(VLOOKUP($B100,London!AH:AI,2,FALSE),"")</f>
        <v>20</v>
      </c>
      <c r="H100" s="31" t="str">
        <f>IFERROR(VLOOKUP($B100,'Ontario Singles'!D:E,2,FALSE),"")</f>
        <v/>
      </c>
      <c r="I100" s="10"/>
      <c r="J100" s="19">
        <f>IFERROR(LARGE(D100:H100,1),0)+IFERROR(LARGE(D100:H100,2),0)+IFERROR(LARGE(D100:H100,3),0)</f>
        <v>20</v>
      </c>
      <c r="K100" s="20">
        <f>SUM(D100:H100)/C100</f>
        <v>20</v>
      </c>
      <c r="L100" s="21"/>
      <c r="O100" s="36"/>
      <c r="P100" s="10"/>
      <c r="Q100" s="36"/>
      <c r="R100" s="10"/>
    </row>
    <row r="101" spans="1:18" s="8" customFormat="1" ht="24" thickBot="1">
      <c r="A101" s="15">
        <f>RANK(J101,J$5:J$179)</f>
        <v>89</v>
      </c>
      <c r="B101" s="23" t="s">
        <v>463</v>
      </c>
      <c r="C101" s="17">
        <f>COUNT(D101:H101)</f>
        <v>1</v>
      </c>
      <c r="D101" s="26" t="str">
        <f>IFERROR(VLOOKUP($B101,ODCC!S:T,2,FALSE),"")</f>
        <v/>
      </c>
      <c r="E101" s="187" t="str">
        <f>IFERROR(VLOOKUP($B101,Elmira!V:W,2,FALSE),"")</f>
        <v/>
      </c>
      <c r="F101" s="187" t="str">
        <f>IFERROR(VLOOKUP($B101,Chatham!N:O,2,FALSE),"")</f>
        <v/>
      </c>
      <c r="G101" s="187">
        <f>IFERROR(VLOOKUP($B101,London!AH:AI,2,FALSE),"")</f>
        <v>20</v>
      </c>
      <c r="H101" s="31" t="str">
        <f>IFERROR(VLOOKUP($B101,'Ontario Singles'!D:E,2,FALSE),"")</f>
        <v/>
      </c>
      <c r="I101" s="10"/>
      <c r="J101" s="19">
        <f>IFERROR(LARGE(D101:H101,1),0)+IFERROR(LARGE(D101:H101,2),0)+IFERROR(LARGE(D101:H101,3),0)</f>
        <v>20</v>
      </c>
      <c r="K101" s="20">
        <f>SUM(D101:H101)/C101</f>
        <v>20</v>
      </c>
      <c r="L101" s="21"/>
      <c r="M101" s="2"/>
      <c r="N101" s="2"/>
      <c r="O101" s="36"/>
      <c r="P101" s="10"/>
      <c r="Q101" s="36"/>
      <c r="R101" s="10"/>
    </row>
    <row r="102" spans="1:18" s="8" customFormat="1" ht="24" thickBot="1">
      <c r="A102" s="15">
        <f>RANK(J102,J$5:J$179)</f>
        <v>98</v>
      </c>
      <c r="B102" s="23"/>
      <c r="C102" s="17">
        <f>COUNT(D102:H102)</f>
        <v>0</v>
      </c>
      <c r="D102" s="26" t="str">
        <f>IFERROR(VLOOKUP($B102,ODCC!S:T,2,FALSE),"")</f>
        <v/>
      </c>
      <c r="E102" s="187" t="str">
        <f>IFERROR(VLOOKUP($B102,Elmira!V:W,2,FALSE),"")</f>
        <v/>
      </c>
      <c r="F102" s="187" t="str">
        <f>IFERROR(VLOOKUP($B102,Chatham!N:O,2,FALSE),"")</f>
        <v/>
      </c>
      <c r="G102" s="187" t="str">
        <f>IFERROR(VLOOKUP($B102,London!AH:AI,2,FALSE),"")</f>
        <v/>
      </c>
      <c r="H102" s="31" t="str">
        <f>IFERROR(VLOOKUP($B102,'Ontario Singles'!D:E,2,FALSE),"")</f>
        <v/>
      </c>
      <c r="I102" s="10"/>
      <c r="J102" s="19">
        <f>IFERROR(LARGE(D102:H102,1),0)+IFERROR(LARGE(D102:H102,2),0)+IFERROR(LARGE(D102:H102,3),0)</f>
        <v>0</v>
      </c>
      <c r="K102" s="20" t="e">
        <f>SUM(D102:H102)/C102</f>
        <v>#DIV/0!</v>
      </c>
      <c r="M102" s="10"/>
      <c r="N102" s="2"/>
      <c r="O102" s="36"/>
      <c r="P102" s="5"/>
    </row>
    <row r="103" spans="1:18" s="8" customFormat="1" ht="24" thickBot="1">
      <c r="A103" s="15">
        <f>RANK(J103,J$5:J$179)</f>
        <v>98</v>
      </c>
      <c r="B103" s="23"/>
      <c r="C103" s="17">
        <f>COUNT(D103:H103)</f>
        <v>0</v>
      </c>
      <c r="D103" s="26" t="str">
        <f>IFERROR(VLOOKUP($B103,ODCC!S:T,2,FALSE),"")</f>
        <v/>
      </c>
      <c r="E103" s="187" t="str">
        <f>IFERROR(VLOOKUP($B103,Elmira!V:W,2,FALSE),"")</f>
        <v/>
      </c>
      <c r="F103" s="187" t="str">
        <f>IFERROR(VLOOKUP($B103,Chatham!N:O,2,FALSE),"")</f>
        <v/>
      </c>
      <c r="G103" s="187" t="str">
        <f>IFERROR(VLOOKUP($B103,London!AH:AI,2,FALSE),"")</f>
        <v/>
      </c>
      <c r="H103" s="31" t="str">
        <f>IFERROR(VLOOKUP($B103,'Ontario Singles'!D:E,2,FALSE),"")</f>
        <v/>
      </c>
      <c r="I103" s="28"/>
      <c r="J103" s="19">
        <f>IFERROR(LARGE(D103:H103,1),0)+IFERROR(LARGE(D103:H103,2),0)+IFERROR(LARGE(D103:H103,3),0)</f>
        <v>0</v>
      </c>
      <c r="K103" s="20" t="e">
        <f>SUM(D103:H103)/C103</f>
        <v>#DIV/0!</v>
      </c>
      <c r="N103" s="2"/>
      <c r="O103" s="36"/>
      <c r="P103" s="5"/>
    </row>
    <row r="104" spans="1:18" s="8" customFormat="1" ht="24" thickBot="1">
      <c r="A104" s="15">
        <f>RANK(J104,J$5:J$179)</f>
        <v>98</v>
      </c>
      <c r="B104" s="23"/>
      <c r="C104" s="17">
        <f>COUNT(D104:H104)</f>
        <v>0</v>
      </c>
      <c r="D104" s="26" t="str">
        <f>IFERROR(VLOOKUP($B104,ODCC!S:T,2,FALSE),"")</f>
        <v/>
      </c>
      <c r="E104" s="187" t="str">
        <f>IFERROR(VLOOKUP($B104,Elmira!V:W,2,FALSE),"")</f>
        <v/>
      </c>
      <c r="F104" s="187" t="str">
        <f>IFERROR(VLOOKUP($B104,Chatham!N:O,2,FALSE),"")</f>
        <v/>
      </c>
      <c r="G104" s="187" t="str">
        <f>IFERROR(VLOOKUP($B104,London!AH:AI,2,FALSE),"")</f>
        <v/>
      </c>
      <c r="H104" s="31" t="str">
        <f>IFERROR(VLOOKUP($B104,'Ontario Singles'!D:E,2,FALSE),"")</f>
        <v/>
      </c>
      <c r="I104" s="10"/>
      <c r="J104" s="19">
        <f>IFERROR(LARGE(D104:H104,1),0)+IFERROR(LARGE(D104:H104,2),0)+IFERROR(LARGE(D104:H104,3),0)</f>
        <v>0</v>
      </c>
      <c r="K104" s="20" t="e">
        <f>SUM(D104:H104)/C104</f>
        <v>#DIV/0!</v>
      </c>
      <c r="N104" s="2"/>
      <c r="O104" s="36"/>
      <c r="P104" s="5"/>
    </row>
    <row r="105" spans="1:18" s="8" customFormat="1" ht="24" thickBot="1">
      <c r="A105" s="15">
        <f>RANK(J105,J$5:J$179)</f>
        <v>98</v>
      </c>
      <c r="B105" s="23"/>
      <c r="C105" s="17">
        <f>COUNT(D105:H105)</f>
        <v>0</v>
      </c>
      <c r="D105" s="26" t="str">
        <f>IFERROR(VLOOKUP($B105,ODCC!S:T,2,FALSE),"")</f>
        <v/>
      </c>
      <c r="E105" s="187" t="str">
        <f>IFERROR(VLOOKUP($B105,Elmira!V:W,2,FALSE),"")</f>
        <v/>
      </c>
      <c r="F105" s="187" t="str">
        <f>IFERROR(VLOOKUP($B105,Chatham!N:O,2,FALSE),"")</f>
        <v/>
      </c>
      <c r="G105" s="187" t="str">
        <f>IFERROR(VLOOKUP($B105,London!AH:AI,2,FALSE),"")</f>
        <v/>
      </c>
      <c r="H105" s="31" t="str">
        <f>IFERROR(VLOOKUP($B105,'Ontario Singles'!D:E,2,FALSE),"")</f>
        <v/>
      </c>
      <c r="I105" s="10"/>
      <c r="J105" s="19">
        <f>IFERROR(LARGE(D105:H105,1),0)+IFERROR(LARGE(D105:H105,2),0)+IFERROR(LARGE(D105:H105,3),0)</f>
        <v>0</v>
      </c>
      <c r="K105" s="20" t="e">
        <f>SUM(D105:H105)/C105</f>
        <v>#DIV/0!</v>
      </c>
      <c r="N105" s="2"/>
      <c r="O105" s="36"/>
      <c r="P105" s="5"/>
    </row>
    <row r="106" spans="1:18" s="8" customFormat="1" ht="24" thickBot="1">
      <c r="A106" s="15">
        <f>RANK(J106,J$5:J$179)</f>
        <v>98</v>
      </c>
      <c r="B106" s="23"/>
      <c r="C106" s="17">
        <f>COUNT(D106:H106)</f>
        <v>0</v>
      </c>
      <c r="D106" s="26" t="str">
        <f>IFERROR(VLOOKUP($B106,ODCC!S:T,2,FALSE),"")</f>
        <v/>
      </c>
      <c r="E106" s="187" t="str">
        <f>IFERROR(VLOOKUP($B106,Elmira!V:W,2,FALSE),"")</f>
        <v/>
      </c>
      <c r="F106" s="187" t="str">
        <f>IFERROR(VLOOKUP($B106,Chatham!N:O,2,FALSE),"")</f>
        <v/>
      </c>
      <c r="G106" s="187" t="str">
        <f>IFERROR(VLOOKUP($B106,London!AH:AI,2,FALSE),"")</f>
        <v/>
      </c>
      <c r="H106" s="31" t="str">
        <f>IFERROR(VLOOKUP($B106,'Ontario Singles'!D:E,2,FALSE),"")</f>
        <v/>
      </c>
      <c r="I106" s="10"/>
      <c r="J106" s="19">
        <f>IFERROR(LARGE(D106:H106,1),0)+IFERROR(LARGE(D106:H106,2),0)+IFERROR(LARGE(D106:H106,3),0)</f>
        <v>0</v>
      </c>
      <c r="K106" s="20" t="e">
        <f>SUM(D106:H106)/C106</f>
        <v>#DIV/0!</v>
      </c>
      <c r="N106" s="2"/>
      <c r="O106" s="36"/>
      <c r="P106" s="5"/>
    </row>
    <row r="107" spans="1:18" s="8" customFormat="1" ht="24" thickBot="1">
      <c r="A107" s="15">
        <f>RANK(J107,J$5:J$179)</f>
        <v>98</v>
      </c>
      <c r="B107" s="23"/>
      <c r="C107" s="17">
        <f>COUNT(D107:H107)</f>
        <v>0</v>
      </c>
      <c r="D107" s="26" t="str">
        <f>IFERROR(VLOOKUP($B107,ODCC!S:T,2,FALSE),"")</f>
        <v/>
      </c>
      <c r="E107" s="187" t="str">
        <f>IFERROR(VLOOKUP($B107,Elmira!V:W,2,FALSE),"")</f>
        <v/>
      </c>
      <c r="F107" s="187" t="str">
        <f>IFERROR(VLOOKUP($B107,Chatham!N:O,2,FALSE),"")</f>
        <v/>
      </c>
      <c r="G107" s="187" t="str">
        <f>IFERROR(VLOOKUP($B107,London!AH:AI,2,FALSE),"")</f>
        <v/>
      </c>
      <c r="H107" s="31" t="str">
        <f>IFERROR(VLOOKUP($B107,'Ontario Singles'!D:E,2,FALSE),"")</f>
        <v/>
      </c>
      <c r="I107" s="10"/>
      <c r="J107" s="19">
        <f>IFERROR(LARGE(D107:H107,1),0)+IFERROR(LARGE(D107:H107,2),0)+IFERROR(LARGE(D107:H107,3),0)</f>
        <v>0</v>
      </c>
      <c r="K107" s="20" t="e">
        <f>SUM(D107:H107)/C107</f>
        <v>#DIV/0!</v>
      </c>
      <c r="N107" s="2"/>
      <c r="O107" s="36"/>
      <c r="P107" s="5"/>
    </row>
    <row r="108" spans="1:18" s="8" customFormat="1" ht="24" thickBot="1">
      <c r="A108" s="15">
        <f>RANK(J108,J$5:J$179)</f>
        <v>98</v>
      </c>
      <c r="B108" s="23"/>
      <c r="C108" s="17">
        <f>COUNT(D108:H108)</f>
        <v>0</v>
      </c>
      <c r="D108" s="26" t="str">
        <f>IFERROR(VLOOKUP($B108,ODCC!S:T,2,FALSE),"")</f>
        <v/>
      </c>
      <c r="E108" s="187" t="str">
        <f>IFERROR(VLOOKUP($B108,Elmira!V:W,2,FALSE),"")</f>
        <v/>
      </c>
      <c r="F108" s="187" t="str">
        <f>IFERROR(VLOOKUP($B108,Chatham!N:O,2,FALSE),"")</f>
        <v/>
      </c>
      <c r="G108" s="187" t="str">
        <f>IFERROR(VLOOKUP($B108,London!AH:AI,2,FALSE),"")</f>
        <v/>
      </c>
      <c r="H108" s="31" t="str">
        <f>IFERROR(VLOOKUP($B108,'Ontario Singles'!D:E,2,FALSE),"")</f>
        <v/>
      </c>
      <c r="I108" s="10"/>
      <c r="J108" s="19">
        <f>IFERROR(LARGE(D108:H108,1),0)+IFERROR(LARGE(D108:H108,2),0)+IFERROR(LARGE(D108:H108,3),0)</f>
        <v>0</v>
      </c>
      <c r="K108" s="20" t="e">
        <f>SUM(D108:H108)/C108</f>
        <v>#DIV/0!</v>
      </c>
      <c r="N108" s="2"/>
      <c r="O108" s="36"/>
      <c r="P108" s="5"/>
    </row>
    <row r="109" spans="1:18" s="8" customFormat="1" ht="24" thickBot="1">
      <c r="A109" s="15">
        <f>RANK(J109,J$5:J$179)</f>
        <v>98</v>
      </c>
      <c r="B109" s="23"/>
      <c r="C109" s="17">
        <f>COUNT(D109:H109)</f>
        <v>0</v>
      </c>
      <c r="D109" s="26" t="str">
        <f>IFERROR(VLOOKUP($B109,ODCC!S:T,2,FALSE),"")</f>
        <v/>
      </c>
      <c r="E109" s="187" t="str">
        <f>IFERROR(VLOOKUP($B109,Elmira!V:W,2,FALSE),"")</f>
        <v/>
      </c>
      <c r="F109" s="187" t="str">
        <f>IFERROR(VLOOKUP($B109,Chatham!N:O,2,FALSE),"")</f>
        <v/>
      </c>
      <c r="G109" s="187" t="str">
        <f>IFERROR(VLOOKUP($B109,London!AH:AI,2,FALSE),"")</f>
        <v/>
      </c>
      <c r="H109" s="31" t="str">
        <f>IFERROR(VLOOKUP($B109,'Ontario Singles'!D:E,2,FALSE),"")</f>
        <v/>
      </c>
      <c r="I109" s="10"/>
      <c r="J109" s="19">
        <f>IFERROR(LARGE(D109:H109,1),0)+IFERROR(LARGE(D109:H109,2),0)+IFERROR(LARGE(D109:H109,3),0)</f>
        <v>0</v>
      </c>
      <c r="K109" s="20" t="e">
        <f>SUM(D109:H109)/C109</f>
        <v>#DIV/0!</v>
      </c>
      <c r="L109" s="21"/>
      <c r="M109" s="2"/>
      <c r="N109" s="2"/>
      <c r="O109" s="36"/>
      <c r="P109" s="5"/>
    </row>
    <row r="110" spans="1:18" s="8" customFormat="1" ht="24" thickBot="1">
      <c r="A110" s="15">
        <f>RANK(J110,J$5:J$179)</f>
        <v>98</v>
      </c>
      <c r="B110" s="23"/>
      <c r="C110" s="17">
        <f>COUNT(D110:H110)</f>
        <v>0</v>
      </c>
      <c r="D110" s="26" t="str">
        <f>IFERROR(VLOOKUP($B110,ODCC!S:T,2,FALSE),"")</f>
        <v/>
      </c>
      <c r="E110" s="187" t="str">
        <f>IFERROR(VLOOKUP($B110,Elmira!V:W,2,FALSE),"")</f>
        <v/>
      </c>
      <c r="F110" s="187" t="str">
        <f>IFERROR(VLOOKUP($B110,Chatham!N:O,2,FALSE),"")</f>
        <v/>
      </c>
      <c r="G110" s="187" t="str">
        <f>IFERROR(VLOOKUP($B110,London!AH:AI,2,FALSE),"")</f>
        <v/>
      </c>
      <c r="H110" s="31" t="str">
        <f>IFERROR(VLOOKUP($B110,'Ontario Singles'!D:E,2,FALSE),"")</f>
        <v/>
      </c>
      <c r="I110" s="10"/>
      <c r="J110" s="19">
        <f>IFERROR(LARGE(D110:H110,1),0)+IFERROR(LARGE(D110:H110,2),0)+IFERROR(LARGE(D110:H110,3),0)</f>
        <v>0</v>
      </c>
      <c r="K110" s="20" t="e">
        <f>SUM(D110:H110)/C110</f>
        <v>#DIV/0!</v>
      </c>
      <c r="N110" s="2"/>
      <c r="O110" s="36"/>
      <c r="P110" s="5"/>
    </row>
    <row r="111" spans="1:18" s="8" customFormat="1" ht="24" thickBot="1">
      <c r="A111" s="15">
        <f>RANK(J111,J$5:J$179)</f>
        <v>98</v>
      </c>
      <c r="B111" s="23"/>
      <c r="C111" s="17">
        <f>COUNT(D111:H111)</f>
        <v>0</v>
      </c>
      <c r="D111" s="26" t="str">
        <f>IFERROR(VLOOKUP($B111,ODCC!S:T,2,FALSE),"")</f>
        <v/>
      </c>
      <c r="E111" s="187" t="str">
        <f>IFERROR(VLOOKUP($B111,Elmira!V:W,2,FALSE),"")</f>
        <v/>
      </c>
      <c r="F111" s="187" t="str">
        <f>IFERROR(VLOOKUP($B111,Chatham!N:O,2,FALSE),"")</f>
        <v/>
      </c>
      <c r="G111" s="187" t="str">
        <f>IFERROR(VLOOKUP($B111,London!AH:AI,2,FALSE),"")</f>
        <v/>
      </c>
      <c r="H111" s="31" t="str">
        <f>IFERROR(VLOOKUP($B111,'Ontario Singles'!D:E,2,FALSE),"")</f>
        <v/>
      </c>
      <c r="I111" s="10"/>
      <c r="J111" s="19">
        <f>IFERROR(LARGE(D111:H111,1),0)+IFERROR(LARGE(D111:H111,2),0)+IFERROR(LARGE(D111:H111,3),0)</f>
        <v>0</v>
      </c>
      <c r="K111" s="20" t="e">
        <f>SUM(D111:H111)/C111</f>
        <v>#DIV/0!</v>
      </c>
      <c r="N111" s="2"/>
      <c r="O111" s="36"/>
      <c r="P111" s="5"/>
    </row>
    <row r="112" spans="1:18" s="8" customFormat="1" ht="18.75" customHeight="1" thickBot="1">
      <c r="A112" s="15">
        <f>RANK(J112,J$5:J$179)</f>
        <v>98</v>
      </c>
      <c r="B112" s="23"/>
      <c r="C112" s="17">
        <f>COUNT(D112:H112)</f>
        <v>0</v>
      </c>
      <c r="D112" s="26" t="str">
        <f>IFERROR(VLOOKUP($B112,ODCC!S:T,2,FALSE),"")</f>
        <v/>
      </c>
      <c r="E112" s="187" t="str">
        <f>IFERROR(VLOOKUP($B112,Elmira!V:W,2,FALSE),"")</f>
        <v/>
      </c>
      <c r="F112" s="187" t="str">
        <f>IFERROR(VLOOKUP($B112,Chatham!N:O,2,FALSE),"")</f>
        <v/>
      </c>
      <c r="G112" s="187" t="str">
        <f>IFERROR(VLOOKUP($B112,London!AH:AI,2,FALSE),"")</f>
        <v/>
      </c>
      <c r="H112" s="31" t="str">
        <f>IFERROR(VLOOKUP($B112,'Ontario Singles'!D:E,2,FALSE),"")</f>
        <v/>
      </c>
      <c r="I112" s="10"/>
      <c r="J112" s="19">
        <f>IFERROR(LARGE(D112:H112,1),0)+IFERROR(LARGE(D112:H112,2),0)+IFERROR(LARGE(D112:H112,3),0)</f>
        <v>0</v>
      </c>
      <c r="K112" s="20" t="e">
        <f>SUM(D112:H112)/C112</f>
        <v>#DIV/0!</v>
      </c>
      <c r="N112" s="2"/>
      <c r="O112" s="36"/>
      <c r="P112" s="5"/>
    </row>
    <row r="113" spans="1:21" s="8" customFormat="1" ht="18.75" customHeight="1" thickBot="1">
      <c r="A113" s="15">
        <f>RANK(J113,J$5:J$179)</f>
        <v>98</v>
      </c>
      <c r="B113" s="23"/>
      <c r="C113" s="17">
        <f>COUNT(D113:H113)</f>
        <v>0</v>
      </c>
      <c r="D113" s="26" t="str">
        <f>IFERROR(VLOOKUP($B113,ODCC!S:T,2,FALSE),"")</f>
        <v/>
      </c>
      <c r="E113" s="187" t="str">
        <f>IFERROR(VLOOKUP($B113,Elmira!V:W,2,FALSE),"")</f>
        <v/>
      </c>
      <c r="F113" s="187" t="str">
        <f>IFERROR(VLOOKUP($B113,Chatham!N:O,2,FALSE),"")</f>
        <v/>
      </c>
      <c r="G113" s="187" t="str">
        <f>IFERROR(VLOOKUP($B113,London!AH:AI,2,FALSE),"")</f>
        <v/>
      </c>
      <c r="H113" s="31" t="str">
        <f>IFERROR(VLOOKUP($B113,'Ontario Singles'!D:E,2,FALSE),"")</f>
        <v/>
      </c>
      <c r="I113" s="10"/>
      <c r="J113" s="19">
        <f>IFERROR(LARGE(D113:H113,1),0)+IFERROR(LARGE(D113:H113,2),0)+IFERROR(LARGE(D113:H113,3),0)</f>
        <v>0</v>
      </c>
      <c r="K113" s="20" t="e">
        <f>SUM(D113:H113)/C113</f>
        <v>#DIV/0!</v>
      </c>
      <c r="N113" s="2"/>
      <c r="O113" s="36"/>
      <c r="P113" s="5"/>
    </row>
    <row r="114" spans="1:21" s="8" customFormat="1" ht="18.75" customHeight="1" thickBot="1">
      <c r="A114" s="15">
        <f>RANK(J114,J$5:J$179)</f>
        <v>98</v>
      </c>
      <c r="B114" s="23"/>
      <c r="C114" s="17">
        <f>COUNT(D114:H114)</f>
        <v>0</v>
      </c>
      <c r="D114" s="26" t="str">
        <f>IFERROR(VLOOKUP($B114,ODCC!S:T,2,FALSE),"")</f>
        <v/>
      </c>
      <c r="E114" s="187" t="str">
        <f>IFERROR(VLOOKUP($B114,Elmira!V:W,2,FALSE),"")</f>
        <v/>
      </c>
      <c r="F114" s="187" t="str">
        <f>IFERROR(VLOOKUP($B114,Chatham!N:O,2,FALSE),"")</f>
        <v/>
      </c>
      <c r="G114" s="187" t="str">
        <f>IFERROR(VLOOKUP($B114,London!AH:AI,2,FALSE),"")</f>
        <v/>
      </c>
      <c r="H114" s="31" t="str">
        <f>IFERROR(VLOOKUP($B114,'Ontario Singles'!D:E,2,FALSE),"")</f>
        <v/>
      </c>
      <c r="I114" s="10"/>
      <c r="J114" s="19">
        <f>IFERROR(LARGE(D114:H114,1),0)+IFERROR(LARGE(D114:H114,2),0)+IFERROR(LARGE(D114:H114,3),0)</f>
        <v>0</v>
      </c>
      <c r="K114" s="20" t="e">
        <f>SUM(D114:H114)/C114</f>
        <v>#DIV/0!</v>
      </c>
      <c r="N114" s="2"/>
      <c r="O114" s="36"/>
      <c r="P114" s="5"/>
    </row>
    <row r="115" spans="1:21" s="8" customFormat="1" ht="18.75" customHeight="1" thickBot="1">
      <c r="A115" s="15">
        <f>RANK(J115,J$5:J$179)</f>
        <v>98</v>
      </c>
      <c r="B115" s="23"/>
      <c r="C115" s="17">
        <f>COUNT(D115:H115)</f>
        <v>0</v>
      </c>
      <c r="D115" s="26" t="str">
        <f>IFERROR(VLOOKUP($B115,ODCC!S:T,2,FALSE),"")</f>
        <v/>
      </c>
      <c r="E115" s="187" t="str">
        <f>IFERROR(VLOOKUP($B115,Elmira!V:W,2,FALSE),"")</f>
        <v/>
      </c>
      <c r="F115" s="187" t="str">
        <f>IFERROR(VLOOKUP($B115,Chatham!N:O,2,FALSE),"")</f>
        <v/>
      </c>
      <c r="G115" s="187" t="str">
        <f>IFERROR(VLOOKUP($B115,London!AH:AI,2,FALSE),"")</f>
        <v/>
      </c>
      <c r="H115" s="31" t="str">
        <f>IFERROR(VLOOKUP($B115,'Ontario Singles'!D:E,2,FALSE),"")</f>
        <v/>
      </c>
      <c r="I115" s="10"/>
      <c r="J115" s="19">
        <f>IFERROR(LARGE(D115:H115,1),0)+IFERROR(LARGE(D115:H115,2),0)+IFERROR(LARGE(D115:H115,3),0)</f>
        <v>0</v>
      </c>
      <c r="K115" s="20" t="e">
        <f>SUM(D115:H115)/C115</f>
        <v>#DIV/0!</v>
      </c>
      <c r="N115" s="2"/>
      <c r="O115" s="36"/>
      <c r="P115" s="5"/>
    </row>
    <row r="116" spans="1:21" s="8" customFormat="1" ht="18.75" customHeight="1" thickBot="1">
      <c r="A116" s="15">
        <f>RANK(J116,J$5:J$179)</f>
        <v>98</v>
      </c>
      <c r="B116" s="23"/>
      <c r="C116" s="17">
        <f>COUNT(D116:H116)</f>
        <v>0</v>
      </c>
      <c r="D116" s="26" t="str">
        <f>IFERROR(VLOOKUP($B116,ODCC!S:T,2,FALSE),"")</f>
        <v/>
      </c>
      <c r="E116" s="187" t="str">
        <f>IFERROR(VLOOKUP($B116,Elmira!V:W,2,FALSE),"")</f>
        <v/>
      </c>
      <c r="F116" s="187" t="str">
        <f>IFERROR(VLOOKUP($B116,Chatham!N:O,2,FALSE),"")</f>
        <v/>
      </c>
      <c r="G116" s="187" t="str">
        <f>IFERROR(VLOOKUP($B116,London!AH:AI,2,FALSE),"")</f>
        <v/>
      </c>
      <c r="H116" s="31" t="str">
        <f>IFERROR(VLOOKUP($B116,'Ontario Singles'!D:E,2,FALSE),"")</f>
        <v/>
      </c>
      <c r="I116" s="10"/>
      <c r="J116" s="19">
        <f>IFERROR(LARGE(D116:H116,1),0)+IFERROR(LARGE(D116:H116,2),0)+IFERROR(LARGE(D116:H116,3),0)</f>
        <v>0</v>
      </c>
      <c r="K116" s="20" t="e">
        <f>SUM(D116:H116)/C116</f>
        <v>#DIV/0!</v>
      </c>
      <c r="N116" s="2"/>
      <c r="O116" s="36"/>
      <c r="P116" s="5"/>
    </row>
    <row r="117" spans="1:21" s="8" customFormat="1" ht="18.75" customHeight="1" thickBot="1">
      <c r="A117" s="15">
        <f>RANK(J117,J$5:J$179)</f>
        <v>98</v>
      </c>
      <c r="B117" s="23"/>
      <c r="C117" s="17">
        <f>COUNT(D117:H117)</f>
        <v>0</v>
      </c>
      <c r="D117" s="26" t="str">
        <f>IFERROR(VLOOKUP($B117,ODCC!S:T,2,FALSE),"")</f>
        <v/>
      </c>
      <c r="E117" s="187" t="str">
        <f>IFERROR(VLOOKUP($B117,Elmira!V:W,2,FALSE),"")</f>
        <v/>
      </c>
      <c r="F117" s="187" t="str">
        <f>IFERROR(VLOOKUP($B117,Chatham!N:O,2,FALSE),"")</f>
        <v/>
      </c>
      <c r="G117" s="187" t="str">
        <f>IFERROR(VLOOKUP($B117,London!AH:AI,2,FALSE),"")</f>
        <v/>
      </c>
      <c r="H117" s="31" t="str">
        <f>IFERROR(VLOOKUP($B117,'Ontario Singles'!D:E,2,FALSE),"")</f>
        <v/>
      </c>
      <c r="I117" s="10"/>
      <c r="J117" s="19">
        <f>IFERROR(LARGE(D117:H117,1),0)+IFERROR(LARGE(D117:H117,2),0)+IFERROR(LARGE(D117:H117,3),0)</f>
        <v>0</v>
      </c>
      <c r="K117" s="20" t="e">
        <f>SUM(D117:H117)/C117</f>
        <v>#DIV/0!</v>
      </c>
      <c r="N117" s="2"/>
      <c r="O117" s="36"/>
      <c r="P117" s="5"/>
    </row>
    <row r="118" spans="1:21" s="8" customFormat="1" ht="18.75" customHeight="1" thickBot="1">
      <c r="A118" s="15">
        <f>RANK(J118,J$5:J$179)</f>
        <v>98</v>
      </c>
      <c r="B118" s="23"/>
      <c r="C118" s="17">
        <f>COUNT(D118:H118)</f>
        <v>0</v>
      </c>
      <c r="D118" s="26" t="str">
        <f>IFERROR(VLOOKUP($B118,ODCC!S:T,2,FALSE),"")</f>
        <v/>
      </c>
      <c r="E118" s="187" t="str">
        <f>IFERROR(VLOOKUP($B118,Elmira!V:W,2,FALSE),"")</f>
        <v/>
      </c>
      <c r="F118" s="187" t="str">
        <f>IFERROR(VLOOKUP($B118,Chatham!N:O,2,FALSE),"")</f>
        <v/>
      </c>
      <c r="G118" s="187" t="str">
        <f>IFERROR(VLOOKUP($B118,London!AH:AI,2,FALSE),"")</f>
        <v/>
      </c>
      <c r="H118" s="31" t="str">
        <f>IFERROR(VLOOKUP($B118,'Ontario Singles'!D:E,2,FALSE),"")</f>
        <v/>
      </c>
      <c r="I118" s="10"/>
      <c r="J118" s="19">
        <f>IFERROR(LARGE(D118:H118,1),0)+IFERROR(LARGE(D118:H118,2),0)+IFERROR(LARGE(D118:H118,3),0)</f>
        <v>0</v>
      </c>
      <c r="K118" s="20" t="e">
        <f>SUM(D118:H118)/C118</f>
        <v>#DIV/0!</v>
      </c>
      <c r="N118" s="2"/>
      <c r="O118" s="36"/>
      <c r="P118" s="5"/>
    </row>
    <row r="119" spans="1:21" s="8" customFormat="1" ht="18.75" customHeight="1" thickBot="1">
      <c r="A119" s="15">
        <f>RANK(J119,J$5:J$179)</f>
        <v>98</v>
      </c>
      <c r="B119" s="23"/>
      <c r="C119" s="17">
        <f>COUNT(D119:H119)</f>
        <v>0</v>
      </c>
      <c r="D119" s="26" t="str">
        <f>IFERROR(VLOOKUP($B119,ODCC!S:T,2,FALSE),"")</f>
        <v/>
      </c>
      <c r="E119" s="187" t="str">
        <f>IFERROR(VLOOKUP($B119,Elmira!V:W,2,FALSE),"")</f>
        <v/>
      </c>
      <c r="F119" s="187" t="str">
        <f>IFERROR(VLOOKUP($B119,Chatham!N:O,2,FALSE),"")</f>
        <v/>
      </c>
      <c r="G119" s="187" t="str">
        <f>IFERROR(VLOOKUP($B119,London!AH:AI,2,FALSE),"")</f>
        <v/>
      </c>
      <c r="H119" s="31" t="str">
        <f>IFERROR(VLOOKUP($B119,'Ontario Singles'!D:E,2,FALSE),"")</f>
        <v/>
      </c>
      <c r="I119" s="10"/>
      <c r="J119" s="19">
        <f>IFERROR(LARGE(D119:H119,1),0)+IFERROR(LARGE(D119:H119,2),0)+IFERROR(LARGE(D119:H119,3),0)</f>
        <v>0</v>
      </c>
      <c r="K119" s="20" t="e">
        <f>SUM(D119:H119)/C119</f>
        <v>#DIV/0!</v>
      </c>
      <c r="N119" s="2"/>
      <c r="O119" s="36"/>
      <c r="P119" s="5"/>
    </row>
    <row r="120" spans="1:21" s="8" customFormat="1" ht="18.75" customHeight="1" thickBot="1">
      <c r="A120" s="15">
        <f>RANK(J120,J$5:J$179)</f>
        <v>98</v>
      </c>
      <c r="B120" s="23"/>
      <c r="C120" s="17">
        <f>COUNT(D120:H120)</f>
        <v>0</v>
      </c>
      <c r="D120" s="26" t="str">
        <f>IFERROR(VLOOKUP($B120,ODCC!S:T,2,FALSE),"")</f>
        <v/>
      </c>
      <c r="E120" s="187" t="str">
        <f>IFERROR(VLOOKUP($B120,Elmira!V:W,2,FALSE),"")</f>
        <v/>
      </c>
      <c r="F120" s="187" t="str">
        <f>IFERROR(VLOOKUP($B120,Chatham!N:O,2,FALSE),"")</f>
        <v/>
      </c>
      <c r="G120" s="187" t="str">
        <f>IFERROR(VLOOKUP($B120,London!AH:AI,2,FALSE),"")</f>
        <v/>
      </c>
      <c r="H120" s="31" t="str">
        <f>IFERROR(VLOOKUP($B120,'Ontario Singles'!D:E,2,FALSE),"")</f>
        <v/>
      </c>
      <c r="I120" s="10"/>
      <c r="J120" s="19">
        <f>IFERROR(LARGE(D120:H120,1),0)+IFERROR(LARGE(D120:H120,2),0)+IFERROR(LARGE(D120:H120,3),0)</f>
        <v>0</v>
      </c>
      <c r="K120" s="20" t="e">
        <f>SUM(D120:H120)/C120</f>
        <v>#DIV/0!</v>
      </c>
      <c r="L120" s="21"/>
      <c r="M120" s="2"/>
      <c r="N120" s="2"/>
      <c r="O120" s="22"/>
      <c r="P120" s="2"/>
      <c r="Q120" s="10"/>
      <c r="R120" s="32"/>
      <c r="S120" s="32"/>
      <c r="T120" s="32"/>
      <c r="U120" s="22"/>
    </row>
    <row r="121" spans="1:21" s="8" customFormat="1" ht="18.75" customHeight="1" thickBot="1">
      <c r="A121" s="15">
        <f>RANK(J121,J$5:J$179)</f>
        <v>98</v>
      </c>
      <c r="B121" s="23"/>
      <c r="C121" s="17">
        <f>COUNT(D121:H121)</f>
        <v>0</v>
      </c>
      <c r="D121" s="26" t="str">
        <f>IFERROR(VLOOKUP($B121,ODCC!S:T,2,FALSE),"")</f>
        <v/>
      </c>
      <c r="E121" s="187" t="str">
        <f>IFERROR(VLOOKUP($B121,Elmira!V:W,2,FALSE),"")</f>
        <v/>
      </c>
      <c r="F121" s="187" t="str">
        <f>IFERROR(VLOOKUP($B121,Chatham!N:O,2,FALSE),"")</f>
        <v/>
      </c>
      <c r="G121" s="187" t="str">
        <f>IFERROR(VLOOKUP($B121,London!AH:AI,2,FALSE),"")</f>
        <v/>
      </c>
      <c r="H121" s="31" t="str">
        <f>IFERROR(VLOOKUP($B121,'Ontario Singles'!D:E,2,FALSE),"")</f>
        <v/>
      </c>
      <c r="I121" s="10"/>
      <c r="J121" s="19">
        <f>IFERROR(LARGE(D121:H121,1),0)+IFERROR(LARGE(D121:H121,2),0)+IFERROR(LARGE(D121:H121,3),0)</f>
        <v>0</v>
      </c>
      <c r="K121" s="20" t="e">
        <f>SUM(D121:H121)/C121</f>
        <v>#DIV/0!</v>
      </c>
      <c r="N121" s="2"/>
      <c r="O121" s="36"/>
      <c r="P121" s="5"/>
    </row>
    <row r="122" spans="1:21" s="8" customFormat="1" ht="18.75" customHeight="1" thickBot="1">
      <c r="A122" s="15">
        <f>RANK(J122,J$5:J$179)</f>
        <v>98</v>
      </c>
      <c r="B122" s="23"/>
      <c r="C122" s="17">
        <f>COUNT(D122:H122)</f>
        <v>0</v>
      </c>
      <c r="D122" s="26" t="str">
        <f>IFERROR(VLOOKUP($B122,ODCC!S:T,2,FALSE),"")</f>
        <v/>
      </c>
      <c r="E122" s="187" t="str">
        <f>IFERROR(VLOOKUP($B122,Elmira!V:W,2,FALSE),"")</f>
        <v/>
      </c>
      <c r="F122" s="187" t="str">
        <f>IFERROR(VLOOKUP($B122,Chatham!N:O,2,FALSE),"")</f>
        <v/>
      </c>
      <c r="G122" s="187" t="str">
        <f>IFERROR(VLOOKUP($B122,London!AH:AI,2,FALSE),"")</f>
        <v/>
      </c>
      <c r="H122" s="31" t="str">
        <f>IFERROR(VLOOKUP($B122,'Ontario Singles'!D:E,2,FALSE),"")</f>
        <v/>
      </c>
      <c r="I122" s="10"/>
      <c r="J122" s="19">
        <f>IFERROR(LARGE(D122:H122,1),0)+IFERROR(LARGE(D122:H122,2),0)+IFERROR(LARGE(D122:H122,3),0)</f>
        <v>0</v>
      </c>
      <c r="K122" s="20" t="e">
        <f>SUM(D122:H122)/C122</f>
        <v>#DIV/0!</v>
      </c>
      <c r="N122" s="2"/>
      <c r="O122" s="36"/>
      <c r="P122" s="5"/>
    </row>
    <row r="123" spans="1:21" s="8" customFormat="1" ht="18.75" customHeight="1" thickBot="1">
      <c r="A123" s="15">
        <f>RANK(J123,J$5:J$179)</f>
        <v>98</v>
      </c>
      <c r="B123" s="23"/>
      <c r="C123" s="17">
        <f>COUNT(D123:H123)</f>
        <v>0</v>
      </c>
      <c r="D123" s="26" t="str">
        <f>IFERROR(VLOOKUP($B123,ODCC!S:T,2,FALSE),"")</f>
        <v/>
      </c>
      <c r="E123" s="187" t="str">
        <f>IFERROR(VLOOKUP($B123,Elmira!V:W,2,FALSE),"")</f>
        <v/>
      </c>
      <c r="F123" s="187" t="str">
        <f>IFERROR(VLOOKUP($B123,Chatham!N:O,2,FALSE),"")</f>
        <v/>
      </c>
      <c r="G123" s="187" t="str">
        <f>IFERROR(VLOOKUP($B123,London!AH:AI,2,FALSE),"")</f>
        <v/>
      </c>
      <c r="H123" s="31" t="str">
        <f>IFERROR(VLOOKUP($B123,'Ontario Singles'!D:E,2,FALSE),"")</f>
        <v/>
      </c>
      <c r="I123" s="10"/>
      <c r="J123" s="19">
        <f>IFERROR(LARGE(D123:H123,1),0)+IFERROR(LARGE(D123:H123,2),0)+IFERROR(LARGE(D123:H123,3),0)</f>
        <v>0</v>
      </c>
      <c r="K123" s="20" t="e">
        <f>SUM(D123:H123)/C123</f>
        <v>#DIV/0!</v>
      </c>
      <c r="N123" s="2"/>
      <c r="O123" s="36"/>
      <c r="P123" s="5"/>
    </row>
    <row r="124" spans="1:21" s="8" customFormat="1" ht="18.75" customHeight="1" thickBot="1">
      <c r="A124" s="15">
        <f>RANK(J124,J$5:J$179)</f>
        <v>98</v>
      </c>
      <c r="B124" s="23"/>
      <c r="C124" s="17">
        <f>COUNT(D124:H124)</f>
        <v>0</v>
      </c>
      <c r="D124" s="26" t="str">
        <f>IFERROR(VLOOKUP($B124,ODCC!S:T,2,FALSE),"")</f>
        <v/>
      </c>
      <c r="E124" s="187" t="str">
        <f>IFERROR(VLOOKUP($B124,Elmira!V:W,2,FALSE),"")</f>
        <v/>
      </c>
      <c r="F124" s="187" t="str">
        <f>IFERROR(VLOOKUP($B124,Chatham!N:O,2,FALSE),"")</f>
        <v/>
      </c>
      <c r="G124" s="187" t="str">
        <f>IFERROR(VLOOKUP($B124,London!AH:AI,2,FALSE),"")</f>
        <v/>
      </c>
      <c r="H124" s="31" t="str">
        <f>IFERROR(VLOOKUP($B124,'Ontario Singles'!D:E,2,FALSE),"")</f>
        <v/>
      </c>
      <c r="I124" s="10"/>
      <c r="J124" s="19">
        <f>IFERROR(LARGE(D124:H124,1),0)+IFERROR(LARGE(D124:H124,2),0)+IFERROR(LARGE(D124:H124,3),0)</f>
        <v>0</v>
      </c>
      <c r="K124" s="20" t="e">
        <f>SUM(D124:H124)/C124</f>
        <v>#DIV/0!</v>
      </c>
      <c r="N124" s="2"/>
      <c r="O124" s="36"/>
      <c r="P124" s="5"/>
    </row>
    <row r="125" spans="1:21" s="8" customFormat="1" ht="18.75" customHeight="1" thickBot="1">
      <c r="A125" s="15">
        <f>RANK(J125,J$5:J$179)</f>
        <v>98</v>
      </c>
      <c r="B125" s="23"/>
      <c r="C125" s="17">
        <f>COUNT(D125:H125)</f>
        <v>0</v>
      </c>
      <c r="D125" s="26" t="str">
        <f>IFERROR(VLOOKUP($B125,ODCC!S:T,2,FALSE),"")</f>
        <v/>
      </c>
      <c r="E125" s="187" t="str">
        <f>IFERROR(VLOOKUP($B125,Elmira!V:W,2,FALSE),"")</f>
        <v/>
      </c>
      <c r="F125" s="187" t="str">
        <f>IFERROR(VLOOKUP($B125,Chatham!N:O,2,FALSE),"")</f>
        <v/>
      </c>
      <c r="G125" s="187" t="str">
        <f>IFERROR(VLOOKUP($B125,London!AH:AI,2,FALSE),"")</f>
        <v/>
      </c>
      <c r="H125" s="31" t="str">
        <f>IFERROR(VLOOKUP($B125,'Ontario Singles'!D:E,2,FALSE),"")</f>
        <v/>
      </c>
      <c r="I125" s="10"/>
      <c r="J125" s="19">
        <f>IFERROR(LARGE(D125:H125,1),0)+IFERROR(LARGE(D125:H125,2),0)+IFERROR(LARGE(D125:H125,3),0)</f>
        <v>0</v>
      </c>
      <c r="K125" s="20" t="e">
        <f>SUM(D125:H125)/C125</f>
        <v>#DIV/0!</v>
      </c>
      <c r="N125" s="2"/>
      <c r="O125" s="36"/>
      <c r="P125" s="5"/>
    </row>
    <row r="126" spans="1:21" s="8" customFormat="1" ht="18.75" customHeight="1" thickBot="1">
      <c r="A126" s="15">
        <f>RANK(J126,J$5:J$179)</f>
        <v>98</v>
      </c>
      <c r="B126" s="23"/>
      <c r="C126" s="17">
        <f>COUNT(D126:H126)</f>
        <v>0</v>
      </c>
      <c r="D126" s="26" t="str">
        <f>IFERROR(VLOOKUP($B126,ODCC!S:T,2,FALSE),"")</f>
        <v/>
      </c>
      <c r="E126" s="187" t="str">
        <f>IFERROR(VLOOKUP($B126,Elmira!V:W,2,FALSE),"")</f>
        <v/>
      </c>
      <c r="F126" s="187" t="str">
        <f>IFERROR(VLOOKUP($B126,Chatham!N:O,2,FALSE),"")</f>
        <v/>
      </c>
      <c r="G126" s="187" t="str">
        <f>IFERROR(VLOOKUP($B126,London!AH:AI,2,FALSE),"")</f>
        <v/>
      </c>
      <c r="H126" s="31" t="str">
        <f>IFERROR(VLOOKUP($B126,'Ontario Singles'!D:E,2,FALSE),"")</f>
        <v/>
      </c>
      <c r="I126" s="10"/>
      <c r="J126" s="19">
        <f>IFERROR(LARGE(D126:H126,1),0)+IFERROR(LARGE(D126:H126,2),0)+IFERROR(LARGE(D126:H126,3),0)</f>
        <v>0</v>
      </c>
      <c r="K126" s="20" t="e">
        <f>SUM(D126:H126)/C126</f>
        <v>#DIV/0!</v>
      </c>
      <c r="N126" s="2"/>
      <c r="O126" s="36"/>
      <c r="P126" s="5"/>
    </row>
    <row r="127" spans="1:21" s="8" customFormat="1" ht="18.75" customHeight="1" thickBot="1">
      <c r="A127" s="15">
        <f>RANK(J127,J$5:J$179)</f>
        <v>98</v>
      </c>
      <c r="B127" s="23"/>
      <c r="C127" s="17">
        <f>COUNT(D127:H127)</f>
        <v>0</v>
      </c>
      <c r="D127" s="26" t="str">
        <f>IFERROR(VLOOKUP($B127,ODCC!S:T,2,FALSE),"")</f>
        <v/>
      </c>
      <c r="E127" s="187" t="str">
        <f>IFERROR(VLOOKUP($B127,Elmira!V:W,2,FALSE),"")</f>
        <v/>
      </c>
      <c r="F127" s="187" t="str">
        <f>IFERROR(VLOOKUP($B127,Chatham!N:O,2,FALSE),"")</f>
        <v/>
      </c>
      <c r="G127" s="187" t="str">
        <f>IFERROR(VLOOKUP($B127,London!AH:AI,2,FALSE),"")</f>
        <v/>
      </c>
      <c r="H127" s="31" t="str">
        <f>IFERROR(VLOOKUP($B127,'Ontario Singles'!D:E,2,FALSE),"")</f>
        <v/>
      </c>
      <c r="I127" s="28"/>
      <c r="J127" s="19">
        <f>IFERROR(LARGE(D127:H127,1),0)+IFERROR(LARGE(D127:H127,2),0)+IFERROR(LARGE(D127:H127,3),0)</f>
        <v>0</v>
      </c>
      <c r="K127" s="20" t="e">
        <f>SUM(D127:H127)/C127</f>
        <v>#DIV/0!</v>
      </c>
      <c r="N127" s="2"/>
      <c r="O127" s="36"/>
      <c r="P127" s="5"/>
    </row>
    <row r="128" spans="1:21" s="8" customFormat="1" ht="18.75" customHeight="1" thickBot="1">
      <c r="A128" s="15">
        <f>RANK(J128,J$5:J$179)</f>
        <v>98</v>
      </c>
      <c r="B128" s="23"/>
      <c r="C128" s="17">
        <f>COUNT(D128:H128)</f>
        <v>0</v>
      </c>
      <c r="D128" s="26" t="str">
        <f>IFERROR(VLOOKUP($B128,ODCC!S:T,2,FALSE),"")</f>
        <v/>
      </c>
      <c r="E128" s="187" t="str">
        <f>IFERROR(VLOOKUP($B128,Elmira!V:W,2,FALSE),"")</f>
        <v/>
      </c>
      <c r="F128" s="187" t="str">
        <f>IFERROR(VLOOKUP($B128,Chatham!N:O,2,FALSE),"")</f>
        <v/>
      </c>
      <c r="G128" s="187" t="str">
        <f>IFERROR(VLOOKUP($B128,London!AH:AI,2,FALSE),"")</f>
        <v/>
      </c>
      <c r="H128" s="31" t="str">
        <f>IFERROR(VLOOKUP($B128,'Ontario Singles'!D:E,2,FALSE),"")</f>
        <v/>
      </c>
      <c r="I128" s="10"/>
      <c r="J128" s="19">
        <f>IFERROR(LARGE(D128:H128,1),0)+IFERROR(LARGE(D128:H128,2),0)+IFERROR(LARGE(D128:H128,3),0)</f>
        <v>0</v>
      </c>
      <c r="K128" s="20" t="e">
        <f>SUM(D128:H128)/C128</f>
        <v>#DIV/0!</v>
      </c>
      <c r="N128" s="2"/>
      <c r="O128" s="36"/>
      <c r="P128" s="5"/>
    </row>
    <row r="129" spans="1:16" s="8" customFormat="1" ht="18.75" customHeight="1" thickBot="1">
      <c r="A129" s="15">
        <f>RANK(J129,J$5:J$179)</f>
        <v>98</v>
      </c>
      <c r="B129" s="23"/>
      <c r="C129" s="17">
        <f>COUNT(D129:H129)</f>
        <v>0</v>
      </c>
      <c r="D129" s="26" t="str">
        <f>IFERROR(VLOOKUP($B129,ODCC!S:T,2,FALSE),"")</f>
        <v/>
      </c>
      <c r="E129" s="187" t="str">
        <f>IFERROR(VLOOKUP($B129,Elmira!V:W,2,FALSE),"")</f>
        <v/>
      </c>
      <c r="F129" s="187" t="str">
        <f>IFERROR(VLOOKUP($B129,Chatham!N:O,2,FALSE),"")</f>
        <v/>
      </c>
      <c r="G129" s="187" t="str">
        <f>IFERROR(VLOOKUP($B129,London!AH:AI,2,FALSE),"")</f>
        <v/>
      </c>
      <c r="H129" s="31" t="str">
        <f>IFERROR(VLOOKUP($B129,'Ontario Singles'!D:E,2,FALSE),"")</f>
        <v/>
      </c>
      <c r="I129" s="10"/>
      <c r="J129" s="19">
        <f>IFERROR(LARGE(D129:H129,1),0)+IFERROR(LARGE(D129:H129,2),0)+IFERROR(LARGE(D129:H129,3),0)</f>
        <v>0</v>
      </c>
      <c r="K129" s="20" t="e">
        <f>SUM(D129:H129)/C129</f>
        <v>#DIV/0!</v>
      </c>
      <c r="N129" s="2"/>
      <c r="O129" s="36"/>
      <c r="P129" s="5"/>
    </row>
    <row r="130" spans="1:16" s="8" customFormat="1" ht="18.75" customHeight="1" thickBot="1">
      <c r="A130" s="15">
        <f>RANK(J130,J$5:J$179)</f>
        <v>98</v>
      </c>
      <c r="B130" s="23"/>
      <c r="C130" s="17">
        <f>COUNT(D130:H130)</f>
        <v>0</v>
      </c>
      <c r="D130" s="26" t="str">
        <f>IFERROR(VLOOKUP($B130,ODCC!S:T,2,FALSE),"")</f>
        <v/>
      </c>
      <c r="E130" s="187" t="str">
        <f>IFERROR(VLOOKUP($B130,Elmira!V:W,2,FALSE),"")</f>
        <v/>
      </c>
      <c r="F130" s="187" t="str">
        <f>IFERROR(VLOOKUP($B130,Chatham!N:O,2,FALSE),"")</f>
        <v/>
      </c>
      <c r="G130" s="187" t="str">
        <f>IFERROR(VLOOKUP($B130,London!AH:AI,2,FALSE),"")</f>
        <v/>
      </c>
      <c r="H130" s="31" t="str">
        <f>IFERROR(VLOOKUP($B130,'Ontario Singles'!D:E,2,FALSE),"")</f>
        <v/>
      </c>
      <c r="I130" s="10"/>
      <c r="J130" s="19">
        <f>IFERROR(LARGE(D130:H130,1),0)+IFERROR(LARGE(D130:H130,2),0)+IFERROR(LARGE(D130:H130,3),0)</f>
        <v>0</v>
      </c>
      <c r="K130" s="20" t="e">
        <f>SUM(D130:H130)/C130</f>
        <v>#DIV/0!</v>
      </c>
      <c r="N130" s="2"/>
      <c r="O130" s="36"/>
      <c r="P130" s="5"/>
    </row>
    <row r="131" spans="1:16" s="8" customFormat="1" ht="18.75" customHeight="1" thickBot="1">
      <c r="A131" s="15">
        <f>RANK(J131,J$5:J$179)</f>
        <v>98</v>
      </c>
      <c r="B131" s="23"/>
      <c r="C131" s="17">
        <f>COUNT(D131:H131)</f>
        <v>0</v>
      </c>
      <c r="D131" s="26" t="str">
        <f>IFERROR(VLOOKUP($B131,ODCC!S:T,2,FALSE),"")</f>
        <v/>
      </c>
      <c r="E131" s="187" t="str">
        <f>IFERROR(VLOOKUP($B131,Elmira!V:W,2,FALSE),"")</f>
        <v/>
      </c>
      <c r="F131" s="187" t="str">
        <f>IFERROR(VLOOKUP($B131,Chatham!N:O,2,FALSE),"")</f>
        <v/>
      </c>
      <c r="G131" s="187" t="str">
        <f>IFERROR(VLOOKUP($B131,London!AH:AI,2,FALSE),"")</f>
        <v/>
      </c>
      <c r="H131" s="31" t="str">
        <f>IFERROR(VLOOKUP($B131,'Ontario Singles'!D:E,2,FALSE),"")</f>
        <v/>
      </c>
      <c r="I131" s="10"/>
      <c r="J131" s="19">
        <f>IFERROR(LARGE(D131:H131,1),0)+IFERROR(LARGE(D131:H131,2),0)+IFERROR(LARGE(D131:H131,3),0)</f>
        <v>0</v>
      </c>
      <c r="K131" s="20" t="e">
        <f>SUM(D131:H131)/C131</f>
        <v>#DIV/0!</v>
      </c>
      <c r="N131" s="2"/>
      <c r="O131" s="36"/>
      <c r="P131" s="5"/>
    </row>
    <row r="132" spans="1:16" s="8" customFormat="1" ht="18.75" customHeight="1" thickBot="1">
      <c r="A132" s="15">
        <f>RANK(J132,J$5:J$179)</f>
        <v>98</v>
      </c>
      <c r="B132" s="23"/>
      <c r="C132" s="17">
        <f>COUNT(D132:H132)</f>
        <v>0</v>
      </c>
      <c r="D132" s="26" t="str">
        <f>IFERROR(VLOOKUP($B132,ODCC!S:T,2,FALSE),"")</f>
        <v/>
      </c>
      <c r="E132" s="187" t="str">
        <f>IFERROR(VLOOKUP($B132,Elmira!V:W,2,FALSE),"")</f>
        <v/>
      </c>
      <c r="F132" s="187" t="str">
        <f>IFERROR(VLOOKUP($B132,Chatham!N:O,2,FALSE),"")</f>
        <v/>
      </c>
      <c r="G132" s="187" t="str">
        <f>IFERROR(VLOOKUP($B132,London!AH:AI,2,FALSE),"")</f>
        <v/>
      </c>
      <c r="H132" s="31" t="str">
        <f>IFERROR(VLOOKUP($B132,'Ontario Singles'!D:E,2,FALSE),"")</f>
        <v/>
      </c>
      <c r="I132" s="10"/>
      <c r="J132" s="19">
        <f>IFERROR(LARGE(D132:H132,1),0)+IFERROR(LARGE(D132:H132,2),0)+IFERROR(LARGE(D132:H132,3),0)</f>
        <v>0</v>
      </c>
      <c r="K132" s="20" t="e">
        <f>SUM(D132:H132)/C132</f>
        <v>#DIV/0!</v>
      </c>
      <c r="N132" s="2"/>
      <c r="O132" s="36"/>
      <c r="P132" s="5"/>
    </row>
    <row r="133" spans="1:16" s="8" customFormat="1" ht="18.75" customHeight="1" thickBot="1">
      <c r="A133" s="15">
        <f>RANK(J133,J$5:J$179)</f>
        <v>98</v>
      </c>
      <c r="B133" s="23"/>
      <c r="C133" s="17">
        <f>COUNT(D133:H133)</f>
        <v>0</v>
      </c>
      <c r="D133" s="26" t="str">
        <f>IFERROR(VLOOKUP($B133,ODCC!S:T,2,FALSE),"")</f>
        <v/>
      </c>
      <c r="E133" s="187" t="str">
        <f>IFERROR(VLOOKUP($B133,Elmira!V:W,2,FALSE),"")</f>
        <v/>
      </c>
      <c r="F133" s="187" t="str">
        <f>IFERROR(VLOOKUP($B133,Chatham!N:O,2,FALSE),"")</f>
        <v/>
      </c>
      <c r="G133" s="187" t="str">
        <f>IFERROR(VLOOKUP($B133,London!AH:AI,2,FALSE),"")</f>
        <v/>
      </c>
      <c r="H133" s="31" t="str">
        <f>IFERROR(VLOOKUP($B133,'Ontario Singles'!D:E,2,FALSE),"")</f>
        <v/>
      </c>
      <c r="I133" s="10"/>
      <c r="J133" s="19">
        <f>IFERROR(LARGE(D133:H133,1),0)+IFERROR(LARGE(D133:H133,2),0)+IFERROR(LARGE(D133:H133,3),0)</f>
        <v>0</v>
      </c>
      <c r="K133" s="20" t="e">
        <f>SUM(D133:H133)/C133</f>
        <v>#DIV/0!</v>
      </c>
      <c r="N133" s="2"/>
      <c r="O133" s="36"/>
      <c r="P133" s="5"/>
    </row>
    <row r="134" spans="1:16" s="8" customFormat="1" ht="18.75" customHeight="1" thickBot="1">
      <c r="A134" s="15">
        <f>RANK(J134,J$5:J$179)</f>
        <v>98</v>
      </c>
      <c r="B134" s="23"/>
      <c r="C134" s="17">
        <f>COUNT(D134:H134)</f>
        <v>0</v>
      </c>
      <c r="D134" s="26" t="str">
        <f>IFERROR(VLOOKUP($B134,ODCC!S:T,2,FALSE),"")</f>
        <v/>
      </c>
      <c r="E134" s="187" t="str">
        <f>IFERROR(VLOOKUP($B134,Elmira!V:W,2,FALSE),"")</f>
        <v/>
      </c>
      <c r="F134" s="187" t="str">
        <f>IFERROR(VLOOKUP($B134,Chatham!N:O,2,FALSE),"")</f>
        <v/>
      </c>
      <c r="G134" s="187" t="str">
        <f>IFERROR(VLOOKUP($B134,London!AH:AI,2,FALSE),"")</f>
        <v/>
      </c>
      <c r="H134" s="31" t="str">
        <f>IFERROR(VLOOKUP($B134,'Ontario Singles'!D:E,2,FALSE),"")</f>
        <v/>
      </c>
      <c r="I134" s="28"/>
      <c r="J134" s="19">
        <f>IFERROR(LARGE(D134:H134,1),0)+IFERROR(LARGE(D134:H134,2),0)+IFERROR(LARGE(D134:H134,3),0)</f>
        <v>0</v>
      </c>
      <c r="K134" s="20" t="e">
        <f>SUM(D134:H134)/C134</f>
        <v>#DIV/0!</v>
      </c>
      <c r="N134" s="2"/>
      <c r="O134" s="36"/>
      <c r="P134" s="5"/>
    </row>
    <row r="135" spans="1:16" s="8" customFormat="1" ht="18.75" customHeight="1" thickBot="1">
      <c r="A135" s="15">
        <f>RANK(J135,J$5:J$179)</f>
        <v>98</v>
      </c>
      <c r="B135" s="23"/>
      <c r="C135" s="17">
        <f>COUNT(D135:H135)</f>
        <v>0</v>
      </c>
      <c r="D135" s="26" t="str">
        <f>IFERROR(VLOOKUP($B135,ODCC!S:T,2,FALSE),"")</f>
        <v/>
      </c>
      <c r="E135" s="187" t="str">
        <f>IFERROR(VLOOKUP($B135,Elmira!V:W,2,FALSE),"")</f>
        <v/>
      </c>
      <c r="F135" s="187" t="str">
        <f>IFERROR(VLOOKUP($B135,Chatham!N:O,2,FALSE),"")</f>
        <v/>
      </c>
      <c r="G135" s="187" t="str">
        <f>IFERROR(VLOOKUP($B135,London!AH:AI,2,FALSE),"")</f>
        <v/>
      </c>
      <c r="H135" s="31" t="str">
        <f>IFERROR(VLOOKUP($B135,'Ontario Singles'!D:E,2,FALSE),"")</f>
        <v/>
      </c>
      <c r="I135" s="10"/>
      <c r="J135" s="19">
        <f>IFERROR(LARGE(D135:H135,1),0)+IFERROR(LARGE(D135:H135,2),0)+IFERROR(LARGE(D135:H135,3),0)</f>
        <v>0</v>
      </c>
      <c r="K135" s="20" t="e">
        <f>SUM(D135:H135)/C135</f>
        <v>#DIV/0!</v>
      </c>
      <c r="N135" s="2"/>
      <c r="O135" s="36"/>
      <c r="P135" s="5"/>
    </row>
    <row r="136" spans="1:16" s="8" customFormat="1" ht="18.75" customHeight="1" thickBot="1">
      <c r="A136" s="15">
        <f>RANK(J136,J$5:J$179)</f>
        <v>98</v>
      </c>
      <c r="B136" s="23"/>
      <c r="C136" s="17">
        <f>COUNT(D136:H136)</f>
        <v>0</v>
      </c>
      <c r="D136" s="26" t="str">
        <f>IFERROR(VLOOKUP($B136,ODCC!S:T,2,FALSE),"")</f>
        <v/>
      </c>
      <c r="E136" s="187" t="str">
        <f>IFERROR(VLOOKUP($B136,Elmira!V:W,2,FALSE),"")</f>
        <v/>
      </c>
      <c r="F136" s="187" t="str">
        <f>IFERROR(VLOOKUP($B136,Chatham!N:O,2,FALSE),"")</f>
        <v/>
      </c>
      <c r="G136" s="187" t="str">
        <f>IFERROR(VLOOKUP($B136,London!AH:AI,2,FALSE),"")</f>
        <v/>
      </c>
      <c r="H136" s="31" t="str">
        <f>IFERROR(VLOOKUP($B136,'Ontario Singles'!D:E,2,FALSE),"")</f>
        <v/>
      </c>
      <c r="I136" s="10"/>
      <c r="J136" s="19">
        <f>IFERROR(LARGE(D136:H136,1),0)+IFERROR(LARGE(D136:H136,2),0)+IFERROR(LARGE(D136:H136,3),0)</f>
        <v>0</v>
      </c>
      <c r="K136" s="20" t="e">
        <f>SUM(D136:H136)/C136</f>
        <v>#DIV/0!</v>
      </c>
      <c r="N136" s="2"/>
      <c r="O136" s="36"/>
      <c r="P136" s="5"/>
    </row>
    <row r="137" spans="1:16" s="8" customFormat="1" ht="18.75" customHeight="1" thickBot="1">
      <c r="A137" s="15">
        <f>RANK(J137,J$5:J$179)</f>
        <v>98</v>
      </c>
      <c r="B137" s="23"/>
      <c r="C137" s="17">
        <f>COUNT(D137:H137)</f>
        <v>0</v>
      </c>
      <c r="D137" s="26" t="str">
        <f>IFERROR(VLOOKUP($B137,ODCC!S:T,2,FALSE),"")</f>
        <v/>
      </c>
      <c r="E137" s="187" t="str">
        <f>IFERROR(VLOOKUP($B137,Elmira!V:W,2,FALSE),"")</f>
        <v/>
      </c>
      <c r="F137" s="187" t="str">
        <f>IFERROR(VLOOKUP($B137,Chatham!N:O,2,FALSE),"")</f>
        <v/>
      </c>
      <c r="G137" s="187" t="str">
        <f>IFERROR(VLOOKUP($B137,London!AH:AI,2,FALSE),"")</f>
        <v/>
      </c>
      <c r="H137" s="31" t="str">
        <f>IFERROR(VLOOKUP($B137,'Ontario Singles'!D:E,2,FALSE),"")</f>
        <v/>
      </c>
      <c r="I137" s="10"/>
      <c r="J137" s="19">
        <f>IFERROR(LARGE(D137:H137,1),0)+IFERROR(LARGE(D137:H137,2),0)+IFERROR(LARGE(D137:H137,3),0)</f>
        <v>0</v>
      </c>
      <c r="K137" s="20" t="e">
        <f>SUM(D137:H137)/C137</f>
        <v>#DIV/0!</v>
      </c>
      <c r="N137" s="2"/>
      <c r="O137" s="36"/>
      <c r="P137" s="5"/>
    </row>
    <row r="138" spans="1:16" s="8" customFormat="1" ht="18.75" customHeight="1" thickBot="1">
      <c r="A138" s="15">
        <f>RANK(J138,J$5:J$179)</f>
        <v>98</v>
      </c>
      <c r="B138" s="23"/>
      <c r="C138" s="17">
        <f>COUNT(D138:H138)</f>
        <v>0</v>
      </c>
      <c r="D138" s="26" t="str">
        <f>IFERROR(VLOOKUP($B138,ODCC!S:T,2,FALSE),"")</f>
        <v/>
      </c>
      <c r="E138" s="187" t="str">
        <f>IFERROR(VLOOKUP($B138,Elmira!V:W,2,FALSE),"")</f>
        <v/>
      </c>
      <c r="F138" s="187" t="str">
        <f>IFERROR(VLOOKUP($B138,Chatham!N:O,2,FALSE),"")</f>
        <v/>
      </c>
      <c r="G138" s="187" t="str">
        <f>IFERROR(VLOOKUP($B138,London!AH:AI,2,FALSE),"")</f>
        <v/>
      </c>
      <c r="H138" s="31" t="str">
        <f>IFERROR(VLOOKUP($B138,'Ontario Singles'!D:E,2,FALSE),"")</f>
        <v/>
      </c>
      <c r="I138" s="10"/>
      <c r="J138" s="19">
        <f>IFERROR(LARGE(D138:H138,1),0)+IFERROR(LARGE(D138:H138,2),0)+IFERROR(LARGE(D138:H138,3),0)</f>
        <v>0</v>
      </c>
      <c r="K138" s="20" t="e">
        <f>SUM(D138:H138)/C138</f>
        <v>#DIV/0!</v>
      </c>
      <c r="N138" s="2"/>
      <c r="O138" s="36"/>
      <c r="P138" s="5"/>
    </row>
    <row r="139" spans="1:16" s="8" customFormat="1" ht="18.75" customHeight="1" thickBot="1">
      <c r="A139" s="15">
        <f>RANK(J139,J$5:J$179)</f>
        <v>98</v>
      </c>
      <c r="B139" s="23"/>
      <c r="C139" s="17">
        <f>COUNT(D139:H139)</f>
        <v>0</v>
      </c>
      <c r="D139" s="26" t="str">
        <f>IFERROR(VLOOKUP($B139,ODCC!S:T,2,FALSE),"")</f>
        <v/>
      </c>
      <c r="E139" s="187" t="str">
        <f>IFERROR(VLOOKUP($B139,Elmira!V:W,2,FALSE),"")</f>
        <v/>
      </c>
      <c r="F139" s="187" t="str">
        <f>IFERROR(VLOOKUP($B139,Chatham!N:O,2,FALSE),"")</f>
        <v/>
      </c>
      <c r="G139" s="187" t="str">
        <f>IFERROR(VLOOKUP($B139,London!AH:AI,2,FALSE),"")</f>
        <v/>
      </c>
      <c r="H139" s="31" t="str">
        <f>IFERROR(VLOOKUP($B139,'Ontario Singles'!D:E,2,FALSE),"")</f>
        <v/>
      </c>
      <c r="I139" s="10"/>
      <c r="J139" s="19">
        <f>IFERROR(LARGE(D139:H139,1),0)+IFERROR(LARGE(D139:H139,2),0)+IFERROR(LARGE(D139:H139,3),0)</f>
        <v>0</v>
      </c>
      <c r="K139" s="20" t="e">
        <f>SUM(D139:H139)/C139</f>
        <v>#DIV/0!</v>
      </c>
      <c r="N139" s="2"/>
      <c r="O139" s="36"/>
      <c r="P139" s="5"/>
    </row>
    <row r="140" spans="1:16" s="8" customFormat="1" ht="18.75" customHeight="1" thickBot="1">
      <c r="A140" s="15">
        <f>RANK(J140,J$5:J$179)</f>
        <v>98</v>
      </c>
      <c r="B140" s="23"/>
      <c r="C140" s="17">
        <f>COUNT(D140:H140)</f>
        <v>0</v>
      </c>
      <c r="D140" s="26" t="str">
        <f>IFERROR(VLOOKUP($B140,ODCC!S:T,2,FALSE),"")</f>
        <v/>
      </c>
      <c r="E140" s="187" t="str">
        <f>IFERROR(VLOOKUP($B140,Elmira!V:W,2,FALSE),"")</f>
        <v/>
      </c>
      <c r="F140" s="187" t="str">
        <f>IFERROR(VLOOKUP($B140,Chatham!N:O,2,FALSE),"")</f>
        <v/>
      </c>
      <c r="G140" s="187" t="str">
        <f>IFERROR(VLOOKUP($B140,London!AH:AI,2,FALSE),"")</f>
        <v/>
      </c>
      <c r="H140" s="31" t="str">
        <f>IFERROR(VLOOKUP($B140,'Ontario Singles'!D:E,2,FALSE),"")</f>
        <v/>
      </c>
      <c r="I140" s="10"/>
      <c r="J140" s="19">
        <f>IFERROR(LARGE(D140:H140,1),0)+IFERROR(LARGE(D140:H140,2),0)+IFERROR(LARGE(D140:H140,3),0)</f>
        <v>0</v>
      </c>
      <c r="K140" s="20" t="e">
        <f>SUM(D140:H140)/C140</f>
        <v>#DIV/0!</v>
      </c>
      <c r="N140" s="2"/>
      <c r="O140" s="36"/>
      <c r="P140" s="5"/>
    </row>
    <row r="141" spans="1:16" s="8" customFormat="1" ht="18.75" customHeight="1" thickBot="1">
      <c r="A141" s="15">
        <f>RANK(J141,J$5:J$179)</f>
        <v>98</v>
      </c>
      <c r="B141" s="23"/>
      <c r="C141" s="17">
        <f>COUNT(D141:H141)</f>
        <v>0</v>
      </c>
      <c r="D141" s="26" t="str">
        <f>IFERROR(VLOOKUP($B141,ODCC!S:T,2,FALSE),"")</f>
        <v/>
      </c>
      <c r="E141" s="187" t="str">
        <f>IFERROR(VLOOKUP($B141,Elmira!V:W,2,FALSE),"")</f>
        <v/>
      </c>
      <c r="F141" s="187" t="str">
        <f>IFERROR(VLOOKUP($B141,Chatham!N:O,2,FALSE),"")</f>
        <v/>
      </c>
      <c r="G141" s="187" t="str">
        <f>IFERROR(VLOOKUP($B141,London!AH:AI,2,FALSE),"")</f>
        <v/>
      </c>
      <c r="H141" s="31" t="str">
        <f>IFERROR(VLOOKUP($B141,'Ontario Singles'!D:E,2,FALSE),"")</f>
        <v/>
      </c>
      <c r="I141" s="28"/>
      <c r="J141" s="19">
        <f>IFERROR(LARGE(D141:H141,1),0)+IFERROR(LARGE(D141:H141,2),0)+IFERROR(LARGE(D141:H141,3),0)</f>
        <v>0</v>
      </c>
      <c r="K141" s="20" t="e">
        <f>SUM(D141:H141)/C141</f>
        <v>#DIV/0!</v>
      </c>
      <c r="N141" s="2"/>
      <c r="O141" s="36"/>
      <c r="P141" s="5"/>
    </row>
    <row r="142" spans="1:16" s="8" customFormat="1" ht="18.75" customHeight="1" thickBot="1">
      <c r="A142" s="15">
        <f>RANK(J142,J$5:J$179)</f>
        <v>98</v>
      </c>
      <c r="B142" s="23"/>
      <c r="C142" s="17">
        <f>COUNT(D142:H142)</f>
        <v>0</v>
      </c>
      <c r="D142" s="26" t="str">
        <f>IFERROR(VLOOKUP($B142,ODCC!S:T,2,FALSE),"")</f>
        <v/>
      </c>
      <c r="E142" s="187" t="str">
        <f>IFERROR(VLOOKUP($B142,Elmira!V:W,2,FALSE),"")</f>
        <v/>
      </c>
      <c r="F142" s="187" t="str">
        <f>IFERROR(VLOOKUP($B142,Chatham!N:O,2,FALSE),"")</f>
        <v/>
      </c>
      <c r="G142" s="187" t="str">
        <f>IFERROR(VLOOKUP($B142,London!AH:AI,2,FALSE),"")</f>
        <v/>
      </c>
      <c r="H142" s="31" t="str">
        <f>IFERROR(VLOOKUP($B142,'Ontario Singles'!D:E,2,FALSE),"")</f>
        <v/>
      </c>
      <c r="I142" s="10"/>
      <c r="J142" s="19">
        <f>IFERROR(LARGE(D142:H142,1),0)+IFERROR(LARGE(D142:H142,2),0)+IFERROR(LARGE(D142:H142,3),0)</f>
        <v>0</v>
      </c>
      <c r="K142" s="20" t="e">
        <f>SUM(D142:H142)/C142</f>
        <v>#DIV/0!</v>
      </c>
      <c r="N142" s="2"/>
      <c r="O142" s="36"/>
      <c r="P142" s="5"/>
    </row>
    <row r="143" spans="1:16" s="8" customFormat="1" ht="18.75" customHeight="1" thickBot="1">
      <c r="A143" s="15">
        <f>RANK(J143,J$5:J$179)</f>
        <v>98</v>
      </c>
      <c r="B143" s="23"/>
      <c r="C143" s="17">
        <f>COUNT(D143:H143)</f>
        <v>0</v>
      </c>
      <c r="D143" s="26" t="str">
        <f>IFERROR(VLOOKUP($B143,ODCC!S:T,2,FALSE),"")</f>
        <v/>
      </c>
      <c r="E143" s="187" t="str">
        <f>IFERROR(VLOOKUP($B143,Elmira!V:W,2,FALSE),"")</f>
        <v/>
      </c>
      <c r="F143" s="187" t="str">
        <f>IFERROR(VLOOKUP($B143,Chatham!N:O,2,FALSE),"")</f>
        <v/>
      </c>
      <c r="G143" s="187" t="str">
        <f>IFERROR(VLOOKUP($B143,London!AH:AI,2,FALSE),"")</f>
        <v/>
      </c>
      <c r="H143" s="31" t="str">
        <f>IFERROR(VLOOKUP($B143,'Ontario Singles'!D:E,2,FALSE),"")</f>
        <v/>
      </c>
      <c r="I143" s="10"/>
      <c r="J143" s="19">
        <f>IFERROR(LARGE(D143:H143,1),0)+IFERROR(LARGE(D143:H143,2),0)+IFERROR(LARGE(D143:H143,3),0)</f>
        <v>0</v>
      </c>
      <c r="K143" s="20" t="e">
        <f>SUM(D143:H143)/C143</f>
        <v>#DIV/0!</v>
      </c>
      <c r="N143" s="2"/>
      <c r="O143" s="36"/>
      <c r="P143" s="5"/>
    </row>
    <row r="144" spans="1:16" s="8" customFormat="1" ht="24" thickBot="1">
      <c r="A144" s="15">
        <f>RANK(J144,J$5:J$179)</f>
        <v>98</v>
      </c>
      <c r="B144" s="23"/>
      <c r="C144" s="17">
        <f>COUNT(D144:H144)</f>
        <v>0</v>
      </c>
      <c r="D144" s="26" t="str">
        <f>IFERROR(VLOOKUP($B144,ODCC!S:T,2,FALSE),"")</f>
        <v/>
      </c>
      <c r="E144" s="187" t="str">
        <f>IFERROR(VLOOKUP($B144,Elmira!V:W,2,FALSE),"")</f>
        <v/>
      </c>
      <c r="F144" s="187" t="str">
        <f>IFERROR(VLOOKUP($B144,Chatham!N:O,2,FALSE),"")</f>
        <v/>
      </c>
      <c r="G144" s="187" t="str">
        <f>IFERROR(VLOOKUP($B144,London!AH:AI,2,FALSE),"")</f>
        <v/>
      </c>
      <c r="H144" s="31" t="str">
        <f>IFERROR(VLOOKUP($B144,'Ontario Singles'!D:E,2,FALSE),"")</f>
        <v/>
      </c>
      <c r="I144" s="10"/>
      <c r="J144" s="19">
        <f>IFERROR(LARGE(D144:H144,1),0)+IFERROR(LARGE(D144:H144,2),0)+IFERROR(LARGE(D144:H144,3),0)</f>
        <v>0</v>
      </c>
      <c r="K144" s="20" t="e">
        <f>SUM(D144:H144)/C144</f>
        <v>#DIV/0!</v>
      </c>
      <c r="N144" s="2"/>
      <c r="O144" s="36"/>
      <c r="P144" s="5"/>
    </row>
    <row r="145" spans="1:16" s="8" customFormat="1" ht="24" thickBot="1">
      <c r="A145" s="15">
        <f>RANK(J145,J$5:J$179)</f>
        <v>98</v>
      </c>
      <c r="B145" s="23"/>
      <c r="C145" s="17">
        <f>COUNT(D145:H145)</f>
        <v>0</v>
      </c>
      <c r="D145" s="26" t="str">
        <f>IFERROR(VLOOKUP($B145,ODCC!S:T,2,FALSE),"")</f>
        <v/>
      </c>
      <c r="E145" s="187" t="str">
        <f>IFERROR(VLOOKUP($B145,Elmira!V:W,2,FALSE),"")</f>
        <v/>
      </c>
      <c r="F145" s="187" t="str">
        <f>IFERROR(VLOOKUP($B145,Chatham!N:O,2,FALSE),"")</f>
        <v/>
      </c>
      <c r="G145" s="187" t="str">
        <f>IFERROR(VLOOKUP($B145,London!AH:AI,2,FALSE),"")</f>
        <v/>
      </c>
      <c r="H145" s="31" t="str">
        <f>IFERROR(VLOOKUP($B145,'Ontario Singles'!D:E,2,FALSE),"")</f>
        <v/>
      </c>
      <c r="I145" s="10"/>
      <c r="J145" s="19">
        <f>IFERROR(LARGE(D145:H145,1),0)+IFERROR(LARGE(D145:H145,2),0)+IFERROR(LARGE(D145:H145,3),0)</f>
        <v>0</v>
      </c>
      <c r="K145" s="20" t="e">
        <f>SUM(D145:H145)/C145</f>
        <v>#DIV/0!</v>
      </c>
      <c r="N145" s="2"/>
      <c r="O145" s="36"/>
      <c r="P145" s="5"/>
    </row>
    <row r="146" spans="1:16" s="8" customFormat="1" ht="24" thickBot="1">
      <c r="A146" s="15">
        <f>RANK(J146,J$5:J$179)</f>
        <v>98</v>
      </c>
      <c r="B146" s="23"/>
      <c r="C146" s="17">
        <f>COUNT(D146:H146)</f>
        <v>0</v>
      </c>
      <c r="D146" s="26" t="str">
        <f>IFERROR(VLOOKUP($B146,ODCC!S:T,2,FALSE),"")</f>
        <v/>
      </c>
      <c r="E146" s="187" t="str">
        <f>IFERROR(VLOOKUP($B146,Elmira!V:W,2,FALSE),"")</f>
        <v/>
      </c>
      <c r="F146" s="187" t="str">
        <f>IFERROR(VLOOKUP($B146,Chatham!N:O,2,FALSE),"")</f>
        <v/>
      </c>
      <c r="G146" s="187" t="str">
        <f>IFERROR(VLOOKUP($B146,London!AH:AI,2,FALSE),"")</f>
        <v/>
      </c>
      <c r="H146" s="31" t="str">
        <f>IFERROR(VLOOKUP($B146,'Ontario Singles'!D:E,2,FALSE),"")</f>
        <v/>
      </c>
      <c r="I146" s="10"/>
      <c r="J146" s="19">
        <f>IFERROR(LARGE(D146:H146,1),0)+IFERROR(LARGE(D146:H146,2),0)+IFERROR(LARGE(D146:H146,3),0)</f>
        <v>0</v>
      </c>
      <c r="K146" s="20" t="e">
        <f>SUM(D146:H146)/C146</f>
        <v>#DIV/0!</v>
      </c>
      <c r="N146" s="2"/>
      <c r="O146" s="36"/>
      <c r="P146" s="5"/>
    </row>
    <row r="147" spans="1:16" s="8" customFormat="1" ht="24" thickBot="1">
      <c r="A147" s="15">
        <f>RANK(J147,J$5:J$179)</f>
        <v>98</v>
      </c>
      <c r="B147" s="23"/>
      <c r="C147" s="17">
        <f>COUNT(D147:H147)</f>
        <v>0</v>
      </c>
      <c r="D147" s="26" t="str">
        <f>IFERROR(VLOOKUP($B147,ODCC!S:T,2,FALSE),"")</f>
        <v/>
      </c>
      <c r="E147" s="187" t="str">
        <f>IFERROR(VLOOKUP($B147,Elmira!V:W,2,FALSE),"")</f>
        <v/>
      </c>
      <c r="F147" s="187" t="str">
        <f>IFERROR(VLOOKUP($B147,Chatham!N:O,2,FALSE),"")</f>
        <v/>
      </c>
      <c r="G147" s="187" t="str">
        <f>IFERROR(VLOOKUP($B147,London!AH:AI,2,FALSE),"")</f>
        <v/>
      </c>
      <c r="H147" s="31" t="str">
        <f>IFERROR(VLOOKUP($B147,'Ontario Singles'!D:E,2,FALSE),"")</f>
        <v/>
      </c>
      <c r="I147" s="10"/>
      <c r="J147" s="19">
        <f>IFERROR(LARGE(D147:H147,1),0)+IFERROR(LARGE(D147:H147,2),0)+IFERROR(LARGE(D147:H147,3),0)</f>
        <v>0</v>
      </c>
      <c r="K147" s="20" t="e">
        <f>SUM(D147:H147)/C147</f>
        <v>#DIV/0!</v>
      </c>
      <c r="N147" s="2"/>
      <c r="O147" s="36"/>
      <c r="P147" s="5"/>
    </row>
    <row r="148" spans="1:16" s="8" customFormat="1" ht="24" thickBot="1">
      <c r="A148" s="15">
        <f>RANK(J148,J$5:J$179)</f>
        <v>98</v>
      </c>
      <c r="B148" s="23"/>
      <c r="C148" s="17">
        <f>COUNT(D148:H148)</f>
        <v>0</v>
      </c>
      <c r="D148" s="26" t="str">
        <f>IFERROR(VLOOKUP($B148,ODCC!S:T,2,FALSE),"")</f>
        <v/>
      </c>
      <c r="E148" s="187" t="str">
        <f>IFERROR(VLOOKUP($B148,Elmira!V:W,2,FALSE),"")</f>
        <v/>
      </c>
      <c r="F148" s="187" t="str">
        <f>IFERROR(VLOOKUP($B148,Chatham!N:O,2,FALSE),"")</f>
        <v/>
      </c>
      <c r="G148" s="187" t="str">
        <f>IFERROR(VLOOKUP($B148,London!AH:AI,2,FALSE),"")</f>
        <v/>
      </c>
      <c r="H148" s="31" t="str">
        <f>IFERROR(VLOOKUP($B148,'Ontario Singles'!D:E,2,FALSE),"")</f>
        <v/>
      </c>
      <c r="I148" s="10"/>
      <c r="J148" s="19">
        <f>IFERROR(LARGE(D148:H148,1),0)+IFERROR(LARGE(D148:H148,2),0)+IFERROR(LARGE(D148:H148,3),0)</f>
        <v>0</v>
      </c>
      <c r="K148" s="20" t="e">
        <f>SUM(D148:H148)/C148</f>
        <v>#DIV/0!</v>
      </c>
      <c r="N148" s="2"/>
      <c r="O148" s="36"/>
      <c r="P148" s="5"/>
    </row>
    <row r="149" spans="1:16" s="8" customFormat="1" ht="24" thickBot="1">
      <c r="A149" s="15">
        <f>RANK(J149,J$5:J$179)</f>
        <v>98</v>
      </c>
      <c r="B149" s="23"/>
      <c r="C149" s="17">
        <f>COUNT(D149:H149)</f>
        <v>0</v>
      </c>
      <c r="D149" s="26" t="str">
        <f>IFERROR(VLOOKUP($B149,ODCC!S:T,2,FALSE),"")</f>
        <v/>
      </c>
      <c r="E149" s="187" t="str">
        <f>IFERROR(VLOOKUP($B149,Elmira!V:W,2,FALSE),"")</f>
        <v/>
      </c>
      <c r="F149" s="187" t="str">
        <f>IFERROR(VLOOKUP($B149,Chatham!N:O,2,FALSE),"")</f>
        <v/>
      </c>
      <c r="G149" s="187" t="str">
        <f>IFERROR(VLOOKUP($B149,London!AH:AI,2,FALSE),"")</f>
        <v/>
      </c>
      <c r="H149" s="31" t="str">
        <f>IFERROR(VLOOKUP($B149,'Ontario Singles'!D:E,2,FALSE),"")</f>
        <v/>
      </c>
      <c r="I149" s="10"/>
      <c r="J149" s="19">
        <f>IFERROR(LARGE(D149:H149,1),0)+IFERROR(LARGE(D149:H149,2),0)+IFERROR(LARGE(D149:H149,3),0)</f>
        <v>0</v>
      </c>
      <c r="K149" s="20" t="e">
        <f>SUM(D149:H149)/C149</f>
        <v>#DIV/0!</v>
      </c>
      <c r="N149" s="2"/>
      <c r="O149" s="36"/>
      <c r="P149" s="5"/>
    </row>
    <row r="150" spans="1:16" s="8" customFormat="1" ht="24" thickBot="1">
      <c r="A150" s="15">
        <f>RANK(J150,J$5:J$179)</f>
        <v>98</v>
      </c>
      <c r="B150" s="23"/>
      <c r="C150" s="17">
        <f>COUNT(D150:H150)</f>
        <v>0</v>
      </c>
      <c r="D150" s="26" t="str">
        <f>IFERROR(VLOOKUP($B150,ODCC!S:T,2,FALSE),"")</f>
        <v/>
      </c>
      <c r="E150" s="187" t="str">
        <f>IFERROR(VLOOKUP($B150,Elmira!V:W,2,FALSE),"")</f>
        <v/>
      </c>
      <c r="F150" s="187" t="str">
        <f>IFERROR(VLOOKUP($B150,Chatham!N:O,2,FALSE),"")</f>
        <v/>
      </c>
      <c r="G150" s="187" t="str">
        <f>IFERROR(VLOOKUP($B150,London!AH:AI,2,FALSE),"")</f>
        <v/>
      </c>
      <c r="H150" s="31" t="str">
        <f>IFERROR(VLOOKUP($B150,'Ontario Singles'!D:E,2,FALSE),"")</f>
        <v/>
      </c>
      <c r="I150" s="10"/>
      <c r="J150" s="19">
        <f>IFERROR(LARGE(D150:H150,1),0)+IFERROR(LARGE(D150:H150,2),0)+IFERROR(LARGE(D150:H150,3),0)</f>
        <v>0</v>
      </c>
      <c r="K150" s="20" t="e">
        <f>SUM(D150:H150)/C150</f>
        <v>#DIV/0!</v>
      </c>
      <c r="N150" s="2"/>
      <c r="O150" s="36"/>
      <c r="P150" s="5"/>
    </row>
    <row r="151" spans="1:16" s="8" customFormat="1" ht="24" thickBot="1">
      <c r="A151" s="15">
        <f>RANK(J151,J$5:J$179)</f>
        <v>98</v>
      </c>
      <c r="B151" s="23"/>
      <c r="C151" s="17">
        <f>COUNT(D151:H151)</f>
        <v>0</v>
      </c>
      <c r="D151" s="26" t="str">
        <f>IFERROR(VLOOKUP($B151,ODCC!S:T,2,FALSE),"")</f>
        <v/>
      </c>
      <c r="E151" s="187" t="str">
        <f>IFERROR(VLOOKUP($B151,Elmira!V:W,2,FALSE),"")</f>
        <v/>
      </c>
      <c r="F151" s="187" t="str">
        <f>IFERROR(VLOOKUP($B151,Chatham!N:O,2,FALSE),"")</f>
        <v/>
      </c>
      <c r="G151" s="187" t="str">
        <f>IFERROR(VLOOKUP($B151,London!AH:AI,2,FALSE),"")</f>
        <v/>
      </c>
      <c r="H151" s="31" t="str">
        <f>IFERROR(VLOOKUP($B151,'Ontario Singles'!D:E,2,FALSE),"")</f>
        <v/>
      </c>
      <c r="I151" s="10"/>
      <c r="J151" s="19">
        <f>IFERROR(LARGE(D151:H151,1),0)+IFERROR(LARGE(D151:H151,2),0)+IFERROR(LARGE(D151:H151,3),0)</f>
        <v>0</v>
      </c>
      <c r="K151" s="20" t="e">
        <f>SUM(D151:H151)/C151</f>
        <v>#DIV/0!</v>
      </c>
      <c r="N151" s="2"/>
      <c r="O151" s="36"/>
      <c r="P151" s="5"/>
    </row>
    <row r="152" spans="1:16" s="8" customFormat="1" ht="24" thickBot="1">
      <c r="A152" s="15">
        <f>RANK(J152,J$5:J$179)</f>
        <v>98</v>
      </c>
      <c r="B152" s="23"/>
      <c r="C152" s="17">
        <f>COUNT(D152:H152)</f>
        <v>0</v>
      </c>
      <c r="D152" s="26" t="str">
        <f>IFERROR(VLOOKUP($B152,ODCC!S:T,2,FALSE),"")</f>
        <v/>
      </c>
      <c r="E152" s="187" t="str">
        <f>IFERROR(VLOOKUP($B152,Elmira!V:W,2,FALSE),"")</f>
        <v/>
      </c>
      <c r="F152" s="187" t="str">
        <f>IFERROR(VLOOKUP($B152,Chatham!N:O,2,FALSE),"")</f>
        <v/>
      </c>
      <c r="G152" s="187" t="str">
        <f>IFERROR(VLOOKUP($B152,London!AH:AI,2,FALSE),"")</f>
        <v/>
      </c>
      <c r="H152" s="31" t="str">
        <f>IFERROR(VLOOKUP($B152,'Ontario Singles'!D:E,2,FALSE),"")</f>
        <v/>
      </c>
      <c r="I152" s="10"/>
      <c r="J152" s="19">
        <f>IFERROR(LARGE(D152:H152,1),0)+IFERROR(LARGE(D152:H152,2),0)+IFERROR(LARGE(D152:H152,3),0)</f>
        <v>0</v>
      </c>
      <c r="K152" s="20" t="e">
        <f>SUM(D152:H152)/C152</f>
        <v>#DIV/0!</v>
      </c>
      <c r="N152" s="2"/>
      <c r="O152" s="36"/>
      <c r="P152" s="5"/>
    </row>
    <row r="153" spans="1:16" s="8" customFormat="1" ht="24" thickBot="1">
      <c r="A153" s="15">
        <f>RANK(J153,J$5:J$179)</f>
        <v>98</v>
      </c>
      <c r="B153" s="23"/>
      <c r="C153" s="17">
        <f>COUNT(D153:H153)</f>
        <v>0</v>
      </c>
      <c r="D153" s="26" t="str">
        <f>IFERROR(VLOOKUP($B153,ODCC!S:T,2,FALSE),"")</f>
        <v/>
      </c>
      <c r="E153" s="187" t="str">
        <f>IFERROR(VLOOKUP($B153,Elmira!V:W,2,FALSE),"")</f>
        <v/>
      </c>
      <c r="F153" s="187" t="str">
        <f>IFERROR(VLOOKUP($B153,Chatham!N:O,2,FALSE),"")</f>
        <v/>
      </c>
      <c r="G153" s="187" t="str">
        <f>IFERROR(VLOOKUP($B153,London!AH:AI,2,FALSE),"")</f>
        <v/>
      </c>
      <c r="H153" s="31" t="str">
        <f>IFERROR(VLOOKUP($B153,'Ontario Singles'!D:E,2,FALSE),"")</f>
        <v/>
      </c>
      <c r="I153" s="10"/>
      <c r="J153" s="19">
        <f>IFERROR(LARGE(D153:H153,1),0)+IFERROR(LARGE(D153:H153,2),0)+IFERROR(LARGE(D153:H153,3),0)</f>
        <v>0</v>
      </c>
      <c r="K153" s="20" t="e">
        <f>SUM(D153:H153)/C153</f>
        <v>#DIV/0!</v>
      </c>
      <c r="N153" s="2"/>
      <c r="O153" s="36"/>
      <c r="P153" s="5"/>
    </row>
    <row r="154" spans="1:16" s="8" customFormat="1" ht="24" thickBot="1">
      <c r="A154" s="15">
        <f>RANK(J154,J$5:J$179)</f>
        <v>98</v>
      </c>
      <c r="B154" s="23"/>
      <c r="C154" s="17">
        <f>COUNT(D154:H154)</f>
        <v>0</v>
      </c>
      <c r="D154" s="26" t="str">
        <f>IFERROR(VLOOKUP($B154,ODCC!S:T,2,FALSE),"")</f>
        <v/>
      </c>
      <c r="E154" s="187" t="str">
        <f>IFERROR(VLOOKUP($B154,Elmira!V:W,2,FALSE),"")</f>
        <v/>
      </c>
      <c r="F154" s="187" t="str">
        <f>IFERROR(VLOOKUP($B154,Chatham!N:O,2,FALSE),"")</f>
        <v/>
      </c>
      <c r="G154" s="187" t="str">
        <f>IFERROR(VLOOKUP($B154,London!AH:AI,2,FALSE),"")</f>
        <v/>
      </c>
      <c r="H154" s="31" t="str">
        <f>IFERROR(VLOOKUP($B154,'Ontario Singles'!D:E,2,FALSE),"")</f>
        <v/>
      </c>
      <c r="I154" s="10"/>
      <c r="J154" s="19">
        <f>IFERROR(LARGE(D154:H154,1),0)+IFERROR(LARGE(D154:H154,2),0)+IFERROR(LARGE(D154:H154,3),0)</f>
        <v>0</v>
      </c>
      <c r="K154" s="20" t="e">
        <f>SUM(D154:H154)/C154</f>
        <v>#DIV/0!</v>
      </c>
      <c r="N154" s="2"/>
      <c r="O154" s="36"/>
      <c r="P154" s="5"/>
    </row>
    <row r="155" spans="1:16" s="8" customFormat="1" ht="24" thickBot="1">
      <c r="A155" s="15">
        <f>RANK(J155,J$5:J$179)</f>
        <v>98</v>
      </c>
      <c r="B155" s="23"/>
      <c r="C155" s="17">
        <f>COUNT(D155:H155)</f>
        <v>0</v>
      </c>
      <c r="D155" s="26" t="str">
        <f>IFERROR(VLOOKUP($B155,ODCC!S:T,2,FALSE),"")</f>
        <v/>
      </c>
      <c r="E155" s="187" t="str">
        <f>IFERROR(VLOOKUP($B155,Elmira!V:W,2,FALSE),"")</f>
        <v/>
      </c>
      <c r="F155" s="187" t="str">
        <f>IFERROR(VLOOKUP($B155,Chatham!N:O,2,FALSE),"")</f>
        <v/>
      </c>
      <c r="G155" s="187" t="str">
        <f>IFERROR(VLOOKUP($B155,London!AH:AI,2,FALSE),"")</f>
        <v/>
      </c>
      <c r="H155" s="31" t="str">
        <f>IFERROR(VLOOKUP($B155,'Ontario Singles'!D:E,2,FALSE),"")</f>
        <v/>
      </c>
      <c r="I155" s="10"/>
      <c r="J155" s="19">
        <f>IFERROR(LARGE(D155:H155,1),0)+IFERROR(LARGE(D155:H155,2),0)+IFERROR(LARGE(D155:H155,3),0)</f>
        <v>0</v>
      </c>
      <c r="K155" s="20" t="e">
        <f>SUM(D155:H155)/C155</f>
        <v>#DIV/0!</v>
      </c>
      <c r="N155" s="2"/>
      <c r="O155" s="36"/>
      <c r="P155" s="5"/>
    </row>
    <row r="156" spans="1:16" s="8" customFormat="1" ht="24" thickBot="1">
      <c r="A156" s="15">
        <f>RANK(J156,J$5:J$179)</f>
        <v>98</v>
      </c>
      <c r="B156" s="23"/>
      <c r="C156" s="17">
        <f>COUNT(D156:H156)</f>
        <v>0</v>
      </c>
      <c r="D156" s="26" t="str">
        <f>IFERROR(VLOOKUP($B156,ODCC!S:T,2,FALSE),"")</f>
        <v/>
      </c>
      <c r="E156" s="187" t="str">
        <f>IFERROR(VLOOKUP($B156,Elmira!V:W,2,FALSE),"")</f>
        <v/>
      </c>
      <c r="F156" s="187" t="str">
        <f>IFERROR(VLOOKUP($B156,Chatham!N:O,2,FALSE),"")</f>
        <v/>
      </c>
      <c r="G156" s="187" t="str">
        <f>IFERROR(VLOOKUP($B156,London!AH:AI,2,FALSE),"")</f>
        <v/>
      </c>
      <c r="H156" s="31" t="str">
        <f>IFERROR(VLOOKUP($B156,'Ontario Singles'!D:E,2,FALSE),"")</f>
        <v/>
      </c>
      <c r="I156" s="10"/>
      <c r="J156" s="19">
        <f>IFERROR(LARGE(D156:H156,1),0)+IFERROR(LARGE(D156:H156,2),0)+IFERROR(LARGE(D156:H156,3),0)</f>
        <v>0</v>
      </c>
      <c r="K156" s="20" t="e">
        <f>SUM(D156:H156)/C156</f>
        <v>#DIV/0!</v>
      </c>
      <c r="N156" s="2"/>
      <c r="O156" s="36"/>
      <c r="P156" s="5"/>
    </row>
    <row r="157" spans="1:16" s="8" customFormat="1" ht="24" thickBot="1">
      <c r="A157" s="15">
        <f>RANK(J157,J$5:J$179)</f>
        <v>98</v>
      </c>
      <c r="B157" s="23"/>
      <c r="C157" s="17">
        <f>COUNT(D157:H157)</f>
        <v>0</v>
      </c>
      <c r="D157" s="26" t="str">
        <f>IFERROR(VLOOKUP($B157,ODCC!S:T,2,FALSE),"")</f>
        <v/>
      </c>
      <c r="E157" s="187" t="str">
        <f>IFERROR(VLOOKUP($B157,Elmira!V:W,2,FALSE),"")</f>
        <v/>
      </c>
      <c r="F157" s="187" t="str">
        <f>IFERROR(VLOOKUP($B157,Chatham!N:O,2,FALSE),"")</f>
        <v/>
      </c>
      <c r="G157" s="187" t="str">
        <f>IFERROR(VLOOKUP($B157,London!AH:AI,2,FALSE),"")</f>
        <v/>
      </c>
      <c r="H157" s="31" t="str">
        <f>IFERROR(VLOOKUP($B157,'Ontario Singles'!D:E,2,FALSE),"")</f>
        <v/>
      </c>
      <c r="I157" s="10"/>
      <c r="J157" s="19">
        <f>IFERROR(LARGE(D157:H157,1),0)+IFERROR(LARGE(D157:H157,2),0)+IFERROR(LARGE(D157:H157,3),0)</f>
        <v>0</v>
      </c>
      <c r="K157" s="20" t="e">
        <f>SUM(D157:H157)/C157</f>
        <v>#DIV/0!</v>
      </c>
      <c r="N157" s="2"/>
      <c r="O157" s="36"/>
      <c r="P157" s="5"/>
    </row>
    <row r="158" spans="1:16" s="8" customFormat="1" ht="18" thickBot="1">
      <c r="A158" s="15">
        <f>RANK(J158,J$5:J$179)</f>
        <v>98</v>
      </c>
      <c r="B158" s="23"/>
      <c r="C158" s="17">
        <f>COUNT(D158:H158)</f>
        <v>0</v>
      </c>
      <c r="D158" s="26" t="str">
        <f>IFERROR(VLOOKUP($B158,ODCC!S:T,2,FALSE),"")</f>
        <v/>
      </c>
      <c r="E158" s="187" t="str">
        <f>IFERROR(VLOOKUP($B158,Elmira!V:W,2,FALSE),"")</f>
        <v/>
      </c>
      <c r="F158" s="187" t="str">
        <f>IFERROR(VLOOKUP($B158,Chatham!N:O,2,FALSE),"")</f>
        <v/>
      </c>
      <c r="G158" s="187" t="str">
        <f>IFERROR(VLOOKUP($B158,London!AH:AI,2,FALSE),"")</f>
        <v/>
      </c>
      <c r="H158" s="31" t="str">
        <f>IFERROR(VLOOKUP($B158,'Ontario Singles'!D:E,2,FALSE),"")</f>
        <v/>
      </c>
      <c r="I158" s="10"/>
      <c r="J158" s="19">
        <f>IFERROR(LARGE(D158:H158,1),0)+IFERROR(LARGE(D158:H158,2),0)+IFERROR(LARGE(D158:H158,3),0)</f>
        <v>0</v>
      </c>
      <c r="K158" s="20" t="e">
        <f>SUM(D158:H158)/C158</f>
        <v>#DIV/0!</v>
      </c>
      <c r="L158" s="21"/>
    </row>
    <row r="159" spans="1:16" s="8" customFormat="1" ht="18" thickBot="1">
      <c r="A159" s="15">
        <f>RANK(J159,J$5:J$179)</f>
        <v>98</v>
      </c>
      <c r="B159" s="23"/>
      <c r="C159" s="17">
        <f>COUNT(D159:H159)</f>
        <v>0</v>
      </c>
      <c r="D159" s="26" t="str">
        <f>IFERROR(VLOOKUP($B159,ODCC!S:T,2,FALSE),"")</f>
        <v/>
      </c>
      <c r="E159" s="187" t="str">
        <f>IFERROR(VLOOKUP($B159,Elmira!V:W,2,FALSE),"")</f>
        <v/>
      </c>
      <c r="F159" s="187" t="str">
        <f>IFERROR(VLOOKUP($B159,Chatham!N:O,2,FALSE),"")</f>
        <v/>
      </c>
      <c r="G159" s="187" t="str">
        <f>IFERROR(VLOOKUP($B159,London!AH:AI,2,FALSE),"")</f>
        <v/>
      </c>
      <c r="H159" s="31" t="str">
        <f>IFERROR(VLOOKUP($B159,'Ontario Singles'!D:E,2,FALSE),"")</f>
        <v/>
      </c>
      <c r="I159" s="10"/>
      <c r="J159" s="19">
        <f>IFERROR(LARGE(D159:H159,1),0)+IFERROR(LARGE(D159:H159,2),0)+IFERROR(LARGE(D159:H159,3),0)</f>
        <v>0</v>
      </c>
      <c r="K159" s="20" t="e">
        <f>SUM(D159:H159)/C159</f>
        <v>#DIV/0!</v>
      </c>
      <c r="L159" s="21"/>
    </row>
    <row r="160" spans="1:16" s="8" customFormat="1" ht="18" thickBot="1">
      <c r="A160" s="15">
        <f>RANK(J160,J$5:J$179)</f>
        <v>98</v>
      </c>
      <c r="B160" s="23"/>
      <c r="C160" s="17">
        <f>COUNT(D160:H160)</f>
        <v>0</v>
      </c>
      <c r="D160" s="26" t="str">
        <f>IFERROR(VLOOKUP($B160,ODCC!S:T,2,FALSE),"")</f>
        <v/>
      </c>
      <c r="E160" s="187" t="str">
        <f>IFERROR(VLOOKUP($B160,Elmira!V:W,2,FALSE),"")</f>
        <v/>
      </c>
      <c r="F160" s="187" t="str">
        <f>IFERROR(VLOOKUP($B160,Chatham!N:O,2,FALSE),"")</f>
        <v/>
      </c>
      <c r="G160" s="187" t="str">
        <f>IFERROR(VLOOKUP($B160,London!AH:AI,2,FALSE),"")</f>
        <v/>
      </c>
      <c r="H160" s="31" t="str">
        <f>IFERROR(VLOOKUP($B160,'Ontario Singles'!D:E,2,FALSE),"")</f>
        <v/>
      </c>
      <c r="I160" s="10"/>
      <c r="J160" s="19">
        <f>IFERROR(LARGE(D160:H160,1),0)+IFERROR(LARGE(D160:H160,2),0)+IFERROR(LARGE(D160:H160,3),0)</f>
        <v>0</v>
      </c>
      <c r="K160" s="20" t="e">
        <f>SUM(D160:H160)/C160</f>
        <v>#DIV/0!</v>
      </c>
      <c r="L160" s="21"/>
    </row>
    <row r="161" spans="1:12" s="8" customFormat="1" ht="18" thickBot="1">
      <c r="A161" s="15">
        <f>RANK(J161,J$5:J$179)</f>
        <v>98</v>
      </c>
      <c r="B161" s="23"/>
      <c r="C161" s="17">
        <f>COUNT(D161:H161)</f>
        <v>0</v>
      </c>
      <c r="D161" s="26" t="str">
        <f>IFERROR(VLOOKUP($B161,ODCC!S:T,2,FALSE),"")</f>
        <v/>
      </c>
      <c r="E161" s="187" t="str">
        <f>IFERROR(VLOOKUP($B161,Elmira!V:W,2,FALSE),"")</f>
        <v/>
      </c>
      <c r="F161" s="187" t="str">
        <f>IFERROR(VLOOKUP($B161,Chatham!N:O,2,FALSE),"")</f>
        <v/>
      </c>
      <c r="G161" s="187" t="str">
        <f>IFERROR(VLOOKUP($B161,London!AH:AI,2,FALSE),"")</f>
        <v/>
      </c>
      <c r="H161" s="31" t="str">
        <f>IFERROR(VLOOKUP($B161,'Ontario Singles'!D:E,2,FALSE),"")</f>
        <v/>
      </c>
      <c r="I161" s="10"/>
      <c r="J161" s="19">
        <f>IFERROR(LARGE(D161:H161,1),0)+IFERROR(LARGE(D161:H161,2),0)+IFERROR(LARGE(D161:H161,3),0)</f>
        <v>0</v>
      </c>
      <c r="K161" s="20" t="e">
        <f>SUM(D161:H161)/C161</f>
        <v>#DIV/0!</v>
      </c>
      <c r="L161" s="21"/>
    </row>
    <row r="162" spans="1:12" s="8" customFormat="1" ht="18" thickBot="1">
      <c r="A162" s="15">
        <f>RANK(J162,J$5:J$179)</f>
        <v>98</v>
      </c>
      <c r="B162" s="23"/>
      <c r="C162" s="17">
        <f>COUNT(D162:H162)</f>
        <v>0</v>
      </c>
      <c r="D162" s="26" t="str">
        <f>IFERROR(VLOOKUP($B162,ODCC!S:T,2,FALSE),"")</f>
        <v/>
      </c>
      <c r="E162" s="187" t="str">
        <f>IFERROR(VLOOKUP($B162,Elmira!V:W,2,FALSE),"")</f>
        <v/>
      </c>
      <c r="F162" s="187" t="str">
        <f>IFERROR(VLOOKUP($B162,Chatham!N:O,2,FALSE),"")</f>
        <v/>
      </c>
      <c r="G162" s="187" t="str">
        <f>IFERROR(VLOOKUP($B162,London!AH:AI,2,FALSE),"")</f>
        <v/>
      </c>
      <c r="H162" s="31" t="str">
        <f>IFERROR(VLOOKUP($B162,'Ontario Singles'!D:E,2,FALSE),"")</f>
        <v/>
      </c>
      <c r="I162" s="10"/>
      <c r="J162" s="19">
        <f>IFERROR(LARGE(D162:H162,1),0)+IFERROR(LARGE(D162:H162,2),0)+IFERROR(LARGE(D162:H162,3),0)</f>
        <v>0</v>
      </c>
      <c r="K162" s="20" t="e">
        <f>SUM(D162:H162)/C162</f>
        <v>#DIV/0!</v>
      </c>
      <c r="L162" s="21"/>
    </row>
    <row r="163" spans="1:12" s="8" customFormat="1" ht="18" thickBot="1">
      <c r="A163" s="15">
        <f>RANK(J163,J$5:J$179)</f>
        <v>98</v>
      </c>
      <c r="B163" s="23"/>
      <c r="C163" s="17">
        <f>COUNT(D163:H163)</f>
        <v>0</v>
      </c>
      <c r="D163" s="26" t="str">
        <f>IFERROR(VLOOKUP($B163,ODCC!S:T,2,FALSE),"")</f>
        <v/>
      </c>
      <c r="E163" s="187" t="str">
        <f>IFERROR(VLOOKUP($B163,Elmira!V:W,2,FALSE),"")</f>
        <v/>
      </c>
      <c r="F163" s="187" t="str">
        <f>IFERROR(VLOOKUP($B163,Chatham!N:O,2,FALSE),"")</f>
        <v/>
      </c>
      <c r="G163" s="187" t="str">
        <f>IFERROR(VLOOKUP($B163,London!AH:AI,2,FALSE),"")</f>
        <v/>
      </c>
      <c r="H163" s="31" t="str">
        <f>IFERROR(VLOOKUP($B163,'Ontario Singles'!D:E,2,FALSE),"")</f>
        <v/>
      </c>
      <c r="I163" s="10"/>
      <c r="J163" s="19">
        <f>IFERROR(LARGE(D163:H163,1),0)+IFERROR(LARGE(D163:H163,2),0)+IFERROR(LARGE(D163:H163,3),0)</f>
        <v>0</v>
      </c>
      <c r="K163" s="20" t="e">
        <f>SUM(D163:H163)/C163</f>
        <v>#DIV/0!</v>
      </c>
    </row>
    <row r="164" spans="1:12" s="8" customFormat="1" ht="18" thickBot="1">
      <c r="A164" s="15">
        <f>RANK(J164,J$5:J$179)</f>
        <v>98</v>
      </c>
      <c r="B164" s="23"/>
      <c r="C164" s="17">
        <f>COUNT(D164:H164)</f>
        <v>0</v>
      </c>
      <c r="D164" s="26" t="str">
        <f>IFERROR(VLOOKUP($B164,ODCC!S:T,2,FALSE),"")</f>
        <v/>
      </c>
      <c r="E164" s="187" t="str">
        <f>IFERROR(VLOOKUP($B164,Elmira!V:W,2,FALSE),"")</f>
        <v/>
      </c>
      <c r="F164" s="187" t="str">
        <f>IFERROR(VLOOKUP($B164,Chatham!N:O,2,FALSE),"")</f>
        <v/>
      </c>
      <c r="G164" s="187" t="str">
        <f>IFERROR(VLOOKUP($B164,London!AH:AI,2,FALSE),"")</f>
        <v/>
      </c>
      <c r="H164" s="31" t="str">
        <f>IFERROR(VLOOKUP($B164,'Ontario Singles'!D:E,2,FALSE),"")</f>
        <v/>
      </c>
      <c r="I164" s="10"/>
      <c r="J164" s="19">
        <f>IFERROR(LARGE(D164:H164,1),0)+IFERROR(LARGE(D164:H164,2),0)+IFERROR(LARGE(D164:H164,3),0)</f>
        <v>0</v>
      </c>
      <c r="K164" s="20" t="e">
        <f>SUM(D164:H164)/C164</f>
        <v>#DIV/0!</v>
      </c>
    </row>
    <row r="165" spans="1:12" s="8" customFormat="1" ht="18" thickBot="1">
      <c r="A165" s="15">
        <f>RANK(J165,J$5:J$179)</f>
        <v>98</v>
      </c>
      <c r="B165" s="23"/>
      <c r="C165" s="17">
        <f>COUNT(D165:H165)</f>
        <v>0</v>
      </c>
      <c r="D165" s="26" t="str">
        <f>IFERROR(VLOOKUP($B165,ODCC!S:T,2,FALSE),"")</f>
        <v/>
      </c>
      <c r="E165" s="187" t="str">
        <f>IFERROR(VLOOKUP($B165,Elmira!V:W,2,FALSE),"")</f>
        <v/>
      </c>
      <c r="F165" s="187" t="str">
        <f>IFERROR(VLOOKUP($B165,Chatham!N:O,2,FALSE),"")</f>
        <v/>
      </c>
      <c r="G165" s="187" t="str">
        <f>IFERROR(VLOOKUP($B165,London!AH:AI,2,FALSE),"")</f>
        <v/>
      </c>
      <c r="H165" s="31" t="str">
        <f>IFERROR(VLOOKUP($B165,'Ontario Singles'!D:E,2,FALSE),"")</f>
        <v/>
      </c>
      <c r="I165" s="10"/>
      <c r="J165" s="19">
        <f>IFERROR(LARGE(D165:H165,1),0)+IFERROR(LARGE(D165:H165,2),0)+IFERROR(LARGE(D165:H165,3),0)</f>
        <v>0</v>
      </c>
      <c r="K165" s="20" t="e">
        <f>SUM(D165:H165)/C165</f>
        <v>#DIV/0!</v>
      </c>
    </row>
    <row r="166" spans="1:12" s="8" customFormat="1" ht="18" thickBot="1">
      <c r="A166" s="15">
        <f>RANK(J166,J$5:J$179)</f>
        <v>98</v>
      </c>
      <c r="B166" s="23"/>
      <c r="C166" s="17">
        <f>COUNT(D166:H166)</f>
        <v>0</v>
      </c>
      <c r="D166" s="26" t="str">
        <f>IFERROR(VLOOKUP($B166,ODCC!S:T,2,FALSE),"")</f>
        <v/>
      </c>
      <c r="E166" s="187" t="str">
        <f>IFERROR(VLOOKUP($B166,Elmira!V:W,2,FALSE),"")</f>
        <v/>
      </c>
      <c r="F166" s="187" t="str">
        <f>IFERROR(VLOOKUP($B166,Chatham!N:O,2,FALSE),"")</f>
        <v/>
      </c>
      <c r="G166" s="187" t="str">
        <f>IFERROR(VLOOKUP($B166,London!AH:AI,2,FALSE),"")</f>
        <v/>
      </c>
      <c r="H166" s="31" t="str">
        <f>IFERROR(VLOOKUP($B166,'Ontario Singles'!D:E,2,FALSE),"")</f>
        <v/>
      </c>
      <c r="I166" s="10"/>
      <c r="J166" s="19">
        <f>IFERROR(LARGE(D166:H166,1),0)+IFERROR(LARGE(D166:H166,2),0)+IFERROR(LARGE(D166:H166,3),0)</f>
        <v>0</v>
      </c>
      <c r="K166" s="20" t="e">
        <f>SUM(D166:H166)/C166</f>
        <v>#DIV/0!</v>
      </c>
    </row>
    <row r="167" spans="1:12" s="8" customFormat="1" ht="18" thickBot="1">
      <c r="A167" s="15">
        <f>RANK(J167,J$5:J$179)</f>
        <v>98</v>
      </c>
      <c r="B167" s="23"/>
      <c r="C167" s="17">
        <f>COUNT(D167:H167)</f>
        <v>0</v>
      </c>
      <c r="D167" s="26" t="str">
        <f>IFERROR(VLOOKUP($B167,ODCC!S:T,2,FALSE),"")</f>
        <v/>
      </c>
      <c r="E167" s="187" t="str">
        <f>IFERROR(VLOOKUP($B167,Elmira!V:W,2,FALSE),"")</f>
        <v/>
      </c>
      <c r="F167" s="187" t="str">
        <f>IFERROR(VLOOKUP($B167,Chatham!N:O,2,FALSE),"")</f>
        <v/>
      </c>
      <c r="G167" s="187" t="str">
        <f>IFERROR(VLOOKUP($B167,London!AH:AI,2,FALSE),"")</f>
        <v/>
      </c>
      <c r="H167" s="31" t="str">
        <f>IFERROR(VLOOKUP($B167,'Ontario Singles'!D:E,2,FALSE),"")</f>
        <v/>
      </c>
      <c r="I167" s="10"/>
      <c r="J167" s="19">
        <f>IFERROR(LARGE(D167:H167,1),0)+IFERROR(LARGE(D167:H167,2),0)+IFERROR(LARGE(D167:H167,3),0)</f>
        <v>0</v>
      </c>
      <c r="K167" s="20" t="e">
        <f>SUM(D167:H167)/C167</f>
        <v>#DIV/0!</v>
      </c>
    </row>
    <row r="168" spans="1:12" s="8" customFormat="1" ht="18" thickBot="1">
      <c r="A168" s="15">
        <f>RANK(J168,J$5:J$179)</f>
        <v>98</v>
      </c>
      <c r="B168" s="23"/>
      <c r="C168" s="17">
        <f>COUNT(D168:H168)</f>
        <v>0</v>
      </c>
      <c r="D168" s="26" t="str">
        <f>IFERROR(VLOOKUP($B168,ODCC!S:T,2,FALSE),"")</f>
        <v/>
      </c>
      <c r="E168" s="187" t="str">
        <f>IFERROR(VLOOKUP($B168,Elmira!V:W,2,FALSE),"")</f>
        <v/>
      </c>
      <c r="F168" s="187" t="str">
        <f>IFERROR(VLOOKUP($B168,Chatham!N:O,2,FALSE),"")</f>
        <v/>
      </c>
      <c r="G168" s="187" t="str">
        <f>IFERROR(VLOOKUP($B168,London!AH:AI,2,FALSE),"")</f>
        <v/>
      </c>
      <c r="H168" s="31" t="str">
        <f>IFERROR(VLOOKUP($B168,'Ontario Singles'!D:E,2,FALSE),"")</f>
        <v/>
      </c>
      <c r="I168" s="10"/>
      <c r="J168" s="19">
        <f>IFERROR(LARGE(D168:H168,1),0)+IFERROR(LARGE(D168:H168,2),0)+IFERROR(LARGE(D168:H168,3),0)</f>
        <v>0</v>
      </c>
      <c r="K168" s="20" t="e">
        <f>SUM(D168:H168)/C168</f>
        <v>#DIV/0!</v>
      </c>
    </row>
    <row r="169" spans="1:12" s="8" customFormat="1" ht="18" thickBot="1">
      <c r="A169" s="15">
        <f>RANK(J169,J$5:J$179)</f>
        <v>98</v>
      </c>
      <c r="B169" s="23"/>
      <c r="C169" s="17">
        <f>COUNT(D169:H169)</f>
        <v>0</v>
      </c>
      <c r="D169" s="26" t="str">
        <f>IFERROR(VLOOKUP($B169,ODCC!S:T,2,FALSE),"")</f>
        <v/>
      </c>
      <c r="E169" s="187" t="str">
        <f>IFERROR(VLOOKUP($B169,Elmira!V:W,2,FALSE),"")</f>
        <v/>
      </c>
      <c r="F169" s="187" t="str">
        <f>IFERROR(VLOOKUP($B169,Chatham!N:O,2,FALSE),"")</f>
        <v/>
      </c>
      <c r="G169" s="187" t="str">
        <f>IFERROR(VLOOKUP($B169,London!AH:AI,2,FALSE),"")</f>
        <v/>
      </c>
      <c r="H169" s="31" t="str">
        <f>IFERROR(VLOOKUP($B169,'Ontario Singles'!D:E,2,FALSE),"")</f>
        <v/>
      </c>
      <c r="I169" s="10"/>
      <c r="J169" s="19">
        <f>IFERROR(LARGE(D169:H169,1),0)+IFERROR(LARGE(D169:H169,2),0)+IFERROR(LARGE(D169:H169,3),0)</f>
        <v>0</v>
      </c>
      <c r="K169" s="20" t="e">
        <f>SUM(D169:H169)/C169</f>
        <v>#DIV/0!</v>
      </c>
    </row>
    <row r="170" spans="1:12" s="8" customFormat="1" ht="18" thickBot="1">
      <c r="A170" s="15">
        <f>RANK(J170,J$5:J$179)</f>
        <v>98</v>
      </c>
      <c r="B170" s="23"/>
      <c r="C170" s="17">
        <f>COUNT(D170:H170)</f>
        <v>0</v>
      </c>
      <c r="D170" s="26" t="str">
        <f>IFERROR(VLOOKUP($B170,ODCC!S:T,2,FALSE),"")</f>
        <v/>
      </c>
      <c r="E170" s="187" t="str">
        <f>IFERROR(VLOOKUP($B170,Elmira!V:W,2,FALSE),"")</f>
        <v/>
      </c>
      <c r="F170" s="187" t="str">
        <f>IFERROR(VLOOKUP($B170,Chatham!N:O,2,FALSE),"")</f>
        <v/>
      </c>
      <c r="G170" s="187" t="str">
        <f>IFERROR(VLOOKUP($B170,London!AH:AI,2,FALSE),"")</f>
        <v/>
      </c>
      <c r="H170" s="31" t="str">
        <f>IFERROR(VLOOKUP($B170,'Ontario Singles'!D:E,2,FALSE),"")</f>
        <v/>
      </c>
      <c r="I170" s="10"/>
      <c r="J170" s="19">
        <f>IFERROR(LARGE(D170:H170,1),0)+IFERROR(LARGE(D170:H170,2),0)+IFERROR(LARGE(D170:H170,3),0)</f>
        <v>0</v>
      </c>
      <c r="K170" s="20" t="e">
        <f>SUM(D170:H170)/C170</f>
        <v>#DIV/0!</v>
      </c>
    </row>
    <row r="171" spans="1:12" s="8" customFormat="1" ht="18" thickBot="1">
      <c r="A171" s="15">
        <f>RANK(J171,J$5:J$179)</f>
        <v>98</v>
      </c>
      <c r="B171" s="23"/>
      <c r="C171" s="17">
        <f>COUNT(D171:H171)</f>
        <v>0</v>
      </c>
      <c r="D171" s="26" t="str">
        <f>IFERROR(VLOOKUP($B171,ODCC!S:T,2,FALSE),"")</f>
        <v/>
      </c>
      <c r="E171" s="187" t="str">
        <f>IFERROR(VLOOKUP($B171,Elmira!V:W,2,FALSE),"")</f>
        <v/>
      </c>
      <c r="F171" s="187" t="str">
        <f>IFERROR(VLOOKUP($B171,Chatham!N:O,2,FALSE),"")</f>
        <v/>
      </c>
      <c r="G171" s="187" t="str">
        <f>IFERROR(VLOOKUP($B171,London!AH:AI,2,FALSE),"")</f>
        <v/>
      </c>
      <c r="H171" s="31" t="str">
        <f>IFERROR(VLOOKUP($B171,'Ontario Singles'!D:E,2,FALSE),"")</f>
        <v/>
      </c>
      <c r="I171" s="10"/>
      <c r="J171" s="19">
        <f>IFERROR(LARGE(D171:H171,1),0)+IFERROR(LARGE(D171:H171,2),0)+IFERROR(LARGE(D171:H171,3),0)</f>
        <v>0</v>
      </c>
      <c r="K171" s="20" t="e">
        <f>SUM(D171:H171)/C171</f>
        <v>#DIV/0!</v>
      </c>
    </row>
    <row r="172" spans="1:12" s="8" customFormat="1" ht="18" thickBot="1">
      <c r="A172" s="15">
        <f>RANK(J172,J$5:J$179)</f>
        <v>98</v>
      </c>
      <c r="B172" s="23"/>
      <c r="C172" s="17">
        <f>COUNT(D172:H172)</f>
        <v>0</v>
      </c>
      <c r="D172" s="26" t="str">
        <f>IFERROR(VLOOKUP($B172,ODCC!S:T,2,FALSE),"")</f>
        <v/>
      </c>
      <c r="E172" s="187" t="str">
        <f>IFERROR(VLOOKUP($B172,Elmira!V:W,2,FALSE),"")</f>
        <v/>
      </c>
      <c r="F172" s="187" t="str">
        <f>IFERROR(VLOOKUP($B172,Chatham!N:O,2,FALSE),"")</f>
        <v/>
      </c>
      <c r="G172" s="187" t="str">
        <f>IFERROR(VLOOKUP($B172,London!AH:AI,2,FALSE),"")</f>
        <v/>
      </c>
      <c r="H172" s="31" t="str">
        <f>IFERROR(VLOOKUP($B172,'Ontario Singles'!D:E,2,FALSE),"")</f>
        <v/>
      </c>
      <c r="I172" s="10"/>
      <c r="J172" s="19">
        <f>IFERROR(LARGE(D172:H172,1),0)+IFERROR(LARGE(D172:H172,2),0)+IFERROR(LARGE(D172:H172,3),0)</f>
        <v>0</v>
      </c>
      <c r="K172" s="20" t="e">
        <f>SUM(D172:H172)/C172</f>
        <v>#DIV/0!</v>
      </c>
    </row>
    <row r="173" spans="1:12" s="8" customFormat="1" ht="18" thickBot="1">
      <c r="A173" s="15">
        <f>RANK(J173,J$5:J$179)</f>
        <v>98</v>
      </c>
      <c r="B173" s="23"/>
      <c r="C173" s="17">
        <f>COUNT(D173:H173)</f>
        <v>0</v>
      </c>
      <c r="D173" s="26" t="str">
        <f>IFERROR(VLOOKUP($B173,ODCC!S:T,2,FALSE),"")</f>
        <v/>
      </c>
      <c r="E173" s="187" t="str">
        <f>IFERROR(VLOOKUP($B173,Elmira!V:W,2,FALSE),"")</f>
        <v/>
      </c>
      <c r="F173" s="187" t="str">
        <f>IFERROR(VLOOKUP($B173,Chatham!N:O,2,FALSE),"")</f>
        <v/>
      </c>
      <c r="G173" s="187" t="str">
        <f>IFERROR(VLOOKUP($B173,London!AH:AI,2,FALSE),"")</f>
        <v/>
      </c>
      <c r="H173" s="31" t="str">
        <f>IFERROR(VLOOKUP($B173,'Ontario Singles'!D:E,2,FALSE),"")</f>
        <v/>
      </c>
      <c r="I173" s="10"/>
      <c r="J173" s="19">
        <f>IFERROR(LARGE(D173:H173,1),0)+IFERROR(LARGE(D173:H173,2),0)+IFERROR(LARGE(D173:H173,3),0)</f>
        <v>0</v>
      </c>
      <c r="K173" s="20" t="e">
        <f>SUM(D173:H173)/C173</f>
        <v>#DIV/0!</v>
      </c>
      <c r="L173" s="21"/>
    </row>
    <row r="174" spans="1:12" s="8" customFormat="1" ht="18" thickBot="1">
      <c r="A174" s="15">
        <f>RANK(J174,J$5:J$179)</f>
        <v>98</v>
      </c>
      <c r="B174" s="23"/>
      <c r="C174" s="17">
        <f>COUNT(D174:H174)</f>
        <v>0</v>
      </c>
      <c r="D174" s="26" t="str">
        <f>IFERROR(VLOOKUP($B174,ODCC!S:T,2,FALSE),"")</f>
        <v/>
      </c>
      <c r="E174" s="187" t="str">
        <f>IFERROR(VLOOKUP($B174,Elmira!V:W,2,FALSE),"")</f>
        <v/>
      </c>
      <c r="F174" s="187" t="str">
        <f>IFERROR(VLOOKUP($B174,Chatham!N:O,2,FALSE),"")</f>
        <v/>
      </c>
      <c r="G174" s="187" t="str">
        <f>IFERROR(VLOOKUP($B174,London!AH:AI,2,FALSE),"")</f>
        <v/>
      </c>
      <c r="H174" s="31" t="str">
        <f>IFERROR(VLOOKUP($B174,'Ontario Singles'!D:E,2,FALSE),"")</f>
        <v/>
      </c>
      <c r="I174" s="10"/>
      <c r="J174" s="19">
        <f>IFERROR(LARGE(D174:H174,1),0)+IFERROR(LARGE(D174:H174,2),0)+IFERROR(LARGE(D174:H174,3),0)</f>
        <v>0</v>
      </c>
      <c r="K174" s="20" t="e">
        <f>SUM(D174:H174)/C174</f>
        <v>#DIV/0!</v>
      </c>
      <c r="L174" s="21"/>
    </row>
    <row r="175" spans="1:12" s="8" customFormat="1" ht="18" thickBot="1">
      <c r="A175" s="15">
        <f>RANK(J175,J$5:J$179)</f>
        <v>98</v>
      </c>
      <c r="B175" s="23"/>
      <c r="C175" s="17">
        <f>COUNT(D175:H175)</f>
        <v>0</v>
      </c>
      <c r="D175" s="26" t="str">
        <f>IFERROR(VLOOKUP($B175,ODCC!S:T,2,FALSE),"")</f>
        <v/>
      </c>
      <c r="E175" s="187" t="str">
        <f>IFERROR(VLOOKUP($B175,Elmira!V:W,2,FALSE),"")</f>
        <v/>
      </c>
      <c r="F175" s="187" t="str">
        <f>IFERROR(VLOOKUP($B175,Chatham!N:O,2,FALSE),"")</f>
        <v/>
      </c>
      <c r="G175" s="187" t="str">
        <f>IFERROR(VLOOKUP($B175,London!AH:AI,2,FALSE),"")</f>
        <v/>
      </c>
      <c r="H175" s="31" t="str">
        <f>IFERROR(VLOOKUP($B175,'Ontario Singles'!D:E,2,FALSE),"")</f>
        <v/>
      </c>
      <c r="I175" s="10"/>
      <c r="J175" s="19">
        <f>IFERROR(LARGE(D175:H175,1),0)+IFERROR(LARGE(D175:H175,2),0)+IFERROR(LARGE(D175:H175,3),0)</f>
        <v>0</v>
      </c>
      <c r="K175" s="20" t="e">
        <f>SUM(D175:H175)/C175</f>
        <v>#DIV/0!</v>
      </c>
      <c r="L175" s="21"/>
    </row>
    <row r="176" spans="1:12" s="8" customFormat="1" ht="18" thickBot="1">
      <c r="A176" s="15">
        <f>RANK(J176,J$5:J$179)</f>
        <v>98</v>
      </c>
      <c r="B176" s="23"/>
      <c r="C176" s="17">
        <f>COUNT(D176:H176)</f>
        <v>0</v>
      </c>
      <c r="D176" s="26" t="str">
        <f>IFERROR(VLOOKUP($B176,ODCC!S:T,2,FALSE),"")</f>
        <v/>
      </c>
      <c r="E176" s="187" t="str">
        <f>IFERROR(VLOOKUP($B176,Elmira!V:W,2,FALSE),"")</f>
        <v/>
      </c>
      <c r="F176" s="187" t="str">
        <f>IFERROR(VLOOKUP($B176,Chatham!N:O,2,FALSE),"")</f>
        <v/>
      </c>
      <c r="G176" s="187" t="str">
        <f>IFERROR(VLOOKUP($B176,London!AH:AI,2,FALSE),"")</f>
        <v/>
      </c>
      <c r="H176" s="31" t="str">
        <f>IFERROR(VLOOKUP($B176,'Ontario Singles'!D:E,2,FALSE),"")</f>
        <v/>
      </c>
      <c r="I176" s="10"/>
      <c r="J176" s="19">
        <f>IFERROR(LARGE(D176:H176,1),0)+IFERROR(LARGE(D176:H176,2),0)+IFERROR(LARGE(D176:H176,3),0)</f>
        <v>0</v>
      </c>
      <c r="K176" s="20" t="e">
        <f>SUM(D176:H176)/C176</f>
        <v>#DIV/0!</v>
      </c>
      <c r="L176" s="21"/>
    </row>
    <row r="177" spans="1:21" s="8" customFormat="1" ht="18" thickBot="1">
      <c r="A177" s="15">
        <f>RANK(J177,J$5:J$179)</f>
        <v>98</v>
      </c>
      <c r="B177" s="23"/>
      <c r="C177" s="17">
        <f>COUNT(D177:H177)</f>
        <v>0</v>
      </c>
      <c r="D177" s="26" t="str">
        <f>IFERROR(VLOOKUP($B177,ODCC!S:T,2,FALSE),"")</f>
        <v/>
      </c>
      <c r="E177" s="187" t="str">
        <f>IFERROR(VLOOKUP($B177,Elmira!V:W,2,FALSE),"")</f>
        <v/>
      </c>
      <c r="F177" s="187" t="str">
        <f>IFERROR(VLOOKUP($B177,Chatham!N:O,2,FALSE),"")</f>
        <v/>
      </c>
      <c r="G177" s="187" t="str">
        <f>IFERROR(VLOOKUP($B177,London!AH:AI,2,FALSE),"")</f>
        <v/>
      </c>
      <c r="H177" s="31" t="str">
        <f>IFERROR(VLOOKUP($B177,'Ontario Singles'!D:E,2,FALSE),"")</f>
        <v/>
      </c>
      <c r="I177" s="10"/>
      <c r="J177" s="19">
        <f>IFERROR(LARGE(D177:H177,1),0)+IFERROR(LARGE(D177:H177,2),0)+IFERROR(LARGE(D177:H177,3),0)</f>
        <v>0</v>
      </c>
      <c r="K177" s="20" t="e">
        <f>SUM(D177:H177)/C177</f>
        <v>#DIV/0!</v>
      </c>
    </row>
    <row r="178" spans="1:21" s="8" customFormat="1" ht="18" thickBot="1">
      <c r="A178" s="15">
        <f>RANK(J178,J$5:J$179)</f>
        <v>98</v>
      </c>
      <c r="B178" s="23"/>
      <c r="C178" s="17">
        <f>COUNT(D178:H178)</f>
        <v>0</v>
      </c>
      <c r="D178" s="26" t="str">
        <f>IFERROR(VLOOKUP($B178,ODCC!S:T,2,FALSE),"")</f>
        <v/>
      </c>
      <c r="E178" s="187" t="str">
        <f>IFERROR(VLOOKUP($B178,Elmira!V:W,2,FALSE),"")</f>
        <v/>
      </c>
      <c r="F178" s="187" t="str">
        <f>IFERROR(VLOOKUP($B178,Chatham!N:O,2,FALSE),"")</f>
        <v/>
      </c>
      <c r="G178" s="187" t="str">
        <f>IFERROR(VLOOKUP($B178,London!AH:AI,2,FALSE),"")</f>
        <v/>
      </c>
      <c r="H178" s="31" t="str">
        <f>IFERROR(VLOOKUP($B178,'Ontario Singles'!D:E,2,FALSE),"")</f>
        <v/>
      </c>
      <c r="I178" s="10"/>
      <c r="J178" s="19">
        <f>IFERROR(LARGE(D178:H178,1),0)+IFERROR(LARGE(D178:H178,2),0)+IFERROR(LARGE(D178:H178,3),0)</f>
        <v>0</v>
      </c>
      <c r="K178" s="20" t="e">
        <f>SUM(D178:H178)/C178</f>
        <v>#DIV/0!</v>
      </c>
    </row>
    <row r="179" spans="1:21" s="8" customFormat="1" ht="18" thickBot="1">
      <c r="A179" s="15">
        <f>RANK(J179,J$5:J$179)</f>
        <v>98</v>
      </c>
      <c r="B179" s="23"/>
      <c r="C179" s="17">
        <f>COUNT(D179:H179)</f>
        <v>0</v>
      </c>
      <c r="D179" s="26" t="str">
        <f>IFERROR(VLOOKUP($B179,ODCC!S:T,2,FALSE),"")</f>
        <v/>
      </c>
      <c r="E179" s="187" t="str">
        <f>IFERROR(VLOOKUP($B179,Elmira!V:W,2,FALSE),"")</f>
        <v/>
      </c>
      <c r="F179" s="187" t="str">
        <f>IFERROR(VLOOKUP($B179,Chatham!N:O,2,FALSE),"")</f>
        <v/>
      </c>
      <c r="G179" s="187" t="str">
        <f>IFERROR(VLOOKUP($B179,London!AH:AI,2,FALSE),"")</f>
        <v/>
      </c>
      <c r="H179" s="31" t="str">
        <f>IFERROR(VLOOKUP($B179,'Ontario Singles'!D:E,2,FALSE),"")</f>
        <v/>
      </c>
      <c r="I179" s="10"/>
      <c r="J179" s="19">
        <f>IFERROR(LARGE(D179:H179,1),0)+IFERROR(LARGE(D179:H179,2),0)+IFERROR(LARGE(D179:H179,3),0)</f>
        <v>0</v>
      </c>
      <c r="K179" s="20" t="e">
        <f>SUM(D179:H179)/C179</f>
        <v>#DIV/0!</v>
      </c>
    </row>
    <row r="180" spans="1:21" s="8" customFormat="1" ht="17">
      <c r="A180" s="10"/>
      <c r="B180" s="3"/>
      <c r="C180" s="28"/>
      <c r="D180" s="10"/>
      <c r="E180" s="10"/>
      <c r="F180" s="10"/>
      <c r="G180" s="10"/>
      <c r="H180" s="10"/>
      <c r="I180" s="10"/>
      <c r="J180" s="21"/>
      <c r="K180" s="29"/>
    </row>
    <row r="181" spans="1:21" s="8" customFormat="1" ht="17">
      <c r="A181" s="10"/>
      <c r="B181" s="3"/>
      <c r="C181" s="28"/>
      <c r="D181" s="10"/>
      <c r="E181" s="10"/>
      <c r="F181" s="10"/>
      <c r="G181" s="10"/>
      <c r="H181" s="10"/>
      <c r="I181" s="10"/>
      <c r="J181" s="21"/>
      <c r="K181" s="29"/>
    </row>
    <row r="182" spans="1:21" s="8" customFormat="1" ht="17">
      <c r="A182" s="10"/>
      <c r="B182" s="3"/>
      <c r="C182" s="28"/>
      <c r="D182" s="40"/>
      <c r="E182" s="40"/>
      <c r="F182" s="40"/>
      <c r="G182" s="40"/>
      <c r="H182" s="40"/>
      <c r="I182" s="10"/>
      <c r="J182" s="21"/>
      <c r="K182" s="29"/>
    </row>
    <row r="183" spans="1:21" s="8" customFormat="1" ht="17">
      <c r="A183" s="10"/>
      <c r="B183" s="3"/>
      <c r="C183" s="28"/>
      <c r="D183" s="10"/>
      <c r="E183" s="10"/>
      <c r="F183" s="10"/>
      <c r="G183" s="10"/>
      <c r="H183" s="10"/>
      <c r="I183" s="10"/>
      <c r="J183" s="21"/>
      <c r="K183" s="29"/>
    </row>
    <row r="184" spans="1:21" s="8" customFormat="1" ht="17">
      <c r="A184" s="10"/>
      <c r="B184" s="28"/>
      <c r="C184" s="28"/>
      <c r="D184" s="10"/>
      <c r="E184" s="10"/>
      <c r="F184" s="10"/>
      <c r="G184" s="10"/>
      <c r="H184" s="10"/>
      <c r="I184" s="10"/>
      <c r="J184" s="21"/>
      <c r="K184" s="29"/>
    </row>
    <row r="185" spans="1:21" s="8" customFormat="1" ht="17">
      <c r="A185" s="28"/>
      <c r="B185" s="3"/>
      <c r="C185" s="28"/>
      <c r="D185" s="10"/>
      <c r="E185" s="10"/>
      <c r="F185" s="10"/>
      <c r="G185" s="10"/>
      <c r="H185" s="10"/>
      <c r="I185" s="10"/>
      <c r="J185" s="21"/>
      <c r="K185" s="29"/>
    </row>
    <row r="186" spans="1:21" s="8" customFormat="1" ht="17">
      <c r="A186" s="28"/>
      <c r="B186" s="3"/>
      <c r="C186" s="28"/>
      <c r="D186" s="10"/>
      <c r="E186" s="10"/>
      <c r="F186" s="10"/>
      <c r="G186" s="10"/>
      <c r="H186" s="10"/>
      <c r="I186" s="10"/>
      <c r="J186" s="21"/>
      <c r="K186" s="29"/>
    </row>
    <row r="187" spans="1:21" s="8" customFormat="1" ht="17">
      <c r="A187" s="10"/>
      <c r="B187" s="41"/>
      <c r="C187" s="28"/>
      <c r="D187" s="40"/>
      <c r="E187" s="40"/>
      <c r="F187" s="40"/>
      <c r="G187" s="40"/>
      <c r="H187" s="40"/>
      <c r="I187" s="28"/>
      <c r="J187" s="21"/>
      <c r="K187" s="29"/>
    </row>
    <row r="188" spans="1:21" s="8" customFormat="1" ht="23">
      <c r="A188" s="10"/>
      <c r="B188" s="34"/>
      <c r="C188" s="28"/>
      <c r="D188" s="40"/>
      <c r="E188" s="40"/>
      <c r="F188" s="40"/>
      <c r="G188" s="40"/>
      <c r="H188" s="40"/>
      <c r="I188" s="28"/>
      <c r="J188" s="21"/>
      <c r="K188" s="29"/>
      <c r="L188" s="21"/>
      <c r="R188" s="32"/>
      <c r="S188" s="32"/>
      <c r="T188" s="32"/>
      <c r="U188" s="22"/>
    </row>
    <row r="189" spans="1:21" s="8" customFormat="1" ht="17">
      <c r="A189" s="10"/>
      <c r="B189" s="3"/>
      <c r="C189" s="28"/>
      <c r="D189" s="10"/>
      <c r="E189" s="10"/>
      <c r="F189" s="10"/>
      <c r="G189" s="10"/>
      <c r="H189" s="10"/>
      <c r="I189" s="10"/>
      <c r="J189" s="21"/>
      <c r="K189" s="29"/>
      <c r="M189" s="5"/>
    </row>
    <row r="190" spans="1:21" s="8" customFormat="1" ht="17">
      <c r="A190" s="10"/>
      <c r="B190" s="34"/>
      <c r="C190" s="28"/>
      <c r="D190" s="40"/>
      <c r="E190" s="40"/>
      <c r="F190" s="40"/>
      <c r="G190" s="40"/>
      <c r="H190" s="40"/>
      <c r="I190" s="28"/>
      <c r="J190" s="21"/>
      <c r="K190" s="29"/>
    </row>
    <row r="191" spans="1:21" s="8" customFormat="1" ht="17">
      <c r="A191" s="10"/>
      <c r="B191" s="3"/>
      <c r="C191" s="28"/>
      <c r="D191" s="10"/>
      <c r="E191" s="10"/>
      <c r="F191" s="10"/>
      <c r="G191" s="10"/>
      <c r="H191" s="10"/>
      <c r="I191" s="10"/>
      <c r="J191" s="21"/>
      <c r="K191" s="29"/>
    </row>
    <row r="192" spans="1:21" s="8" customFormat="1" ht="18.75" customHeight="1">
      <c r="A192" s="10"/>
      <c r="B192" s="3"/>
      <c r="C192" s="28"/>
      <c r="D192" s="10"/>
      <c r="E192" s="10"/>
      <c r="F192" s="10"/>
      <c r="G192" s="10"/>
      <c r="H192" s="10"/>
      <c r="I192" s="10"/>
      <c r="J192" s="21"/>
      <c r="K192" s="29"/>
    </row>
    <row r="193" spans="1:21" s="8" customFormat="1" ht="18.75" customHeight="1">
      <c r="A193" s="28"/>
      <c r="B193" s="3"/>
      <c r="C193" s="28"/>
      <c r="D193" s="10"/>
      <c r="E193" s="10"/>
      <c r="F193" s="10"/>
      <c r="G193" s="10"/>
      <c r="H193" s="10"/>
      <c r="I193" s="10"/>
      <c r="J193" s="21"/>
      <c r="K193" s="29"/>
    </row>
    <row r="194" spans="1:21" s="8" customFormat="1" ht="18.75" customHeight="1">
      <c r="A194" s="10"/>
      <c r="B194" s="34"/>
      <c r="C194" s="28"/>
      <c r="D194" s="40"/>
      <c r="E194" s="40"/>
      <c r="F194" s="40"/>
      <c r="G194" s="40"/>
      <c r="H194" s="40"/>
      <c r="I194" s="28"/>
      <c r="J194" s="21"/>
      <c r="K194" s="29"/>
    </row>
    <row r="195" spans="1:21" s="8" customFormat="1" ht="18.75" customHeight="1">
      <c r="A195" s="10"/>
      <c r="B195" s="34"/>
      <c r="C195" s="28"/>
      <c r="D195" s="40"/>
      <c r="E195" s="40"/>
      <c r="F195" s="40"/>
      <c r="G195" s="40"/>
      <c r="H195" s="40"/>
      <c r="I195" s="28"/>
      <c r="J195" s="21"/>
      <c r="K195" s="29"/>
    </row>
    <row r="196" spans="1:21" s="8" customFormat="1" ht="18.75" customHeight="1">
      <c r="A196" s="28"/>
      <c r="B196" s="28"/>
      <c r="C196" s="28"/>
      <c r="D196" s="40"/>
      <c r="E196" s="40"/>
      <c r="F196" s="40"/>
      <c r="G196" s="40"/>
      <c r="H196" s="40"/>
      <c r="I196" s="10"/>
      <c r="J196" s="21"/>
      <c r="K196" s="29"/>
      <c r="L196" s="21"/>
      <c r="R196" s="32"/>
      <c r="S196" s="32"/>
      <c r="T196" s="32"/>
      <c r="U196" s="22"/>
    </row>
    <row r="197" spans="1:21" s="8" customFormat="1" ht="18.75" customHeight="1">
      <c r="A197" s="28"/>
      <c r="B197" s="3"/>
      <c r="C197" s="28"/>
      <c r="D197" s="39"/>
      <c r="E197" s="39"/>
      <c r="F197" s="39"/>
      <c r="G197" s="39"/>
      <c r="H197" s="39"/>
      <c r="I197" s="10"/>
      <c r="J197" s="21"/>
      <c r="K197" s="29"/>
      <c r="L197" s="21"/>
      <c r="R197" s="32"/>
      <c r="S197" s="32"/>
      <c r="T197" s="32"/>
      <c r="U197" s="22"/>
    </row>
    <row r="198" spans="1:21" s="8" customFormat="1" ht="18.75" customHeight="1">
      <c r="A198" s="10"/>
      <c r="B198" s="3"/>
      <c r="C198" s="28"/>
      <c r="D198" s="10"/>
      <c r="E198" s="10"/>
      <c r="F198" s="10"/>
      <c r="G198" s="10"/>
      <c r="H198" s="10"/>
      <c r="I198" s="10"/>
      <c r="J198" s="21"/>
      <c r="K198" s="29"/>
      <c r="L198" s="21"/>
      <c r="R198" s="32"/>
      <c r="S198" s="32"/>
      <c r="T198" s="32"/>
      <c r="U198" s="22"/>
    </row>
    <row r="199" spans="1:21" s="8" customFormat="1" ht="18.75" customHeight="1">
      <c r="A199" s="10"/>
      <c r="B199" s="3"/>
      <c r="C199" s="28"/>
      <c r="D199" s="40"/>
      <c r="E199" s="40"/>
      <c r="F199" s="40"/>
      <c r="G199" s="40"/>
      <c r="H199" s="40"/>
      <c r="I199" s="10"/>
      <c r="J199" s="21"/>
      <c r="K199" s="29"/>
      <c r="L199" s="21"/>
      <c r="R199" s="32"/>
      <c r="S199" s="32"/>
      <c r="T199" s="32"/>
      <c r="U199" s="22"/>
    </row>
    <row r="200" spans="1:21" s="8" customFormat="1" ht="18.75" customHeight="1">
      <c r="A200" s="10"/>
      <c r="B200" s="3"/>
      <c r="C200" s="28"/>
      <c r="D200" s="40"/>
      <c r="E200" s="40"/>
      <c r="F200" s="40"/>
      <c r="G200" s="40"/>
      <c r="H200" s="40"/>
      <c r="I200" s="10"/>
      <c r="J200" s="21"/>
      <c r="K200" s="29"/>
      <c r="L200" s="21"/>
      <c r="R200" s="32"/>
      <c r="S200" s="32"/>
      <c r="T200" s="32"/>
      <c r="U200" s="22"/>
    </row>
    <row r="201" spans="1:21" s="8" customFormat="1" ht="18.75" customHeight="1">
      <c r="A201" s="10"/>
      <c r="B201" s="3"/>
      <c r="C201" s="28"/>
      <c r="D201" s="40"/>
      <c r="E201" s="40"/>
      <c r="F201" s="40"/>
      <c r="G201" s="40"/>
      <c r="H201" s="40"/>
      <c r="I201" s="10"/>
      <c r="J201" s="21"/>
      <c r="K201" s="29"/>
      <c r="L201" s="21"/>
    </row>
    <row r="202" spans="1:21" s="8" customFormat="1" ht="18.75" customHeight="1">
      <c r="A202" s="10"/>
      <c r="B202" s="3"/>
      <c r="C202" s="28"/>
      <c r="D202" s="10"/>
      <c r="E202" s="10"/>
      <c r="F202" s="10"/>
      <c r="G202" s="10"/>
      <c r="H202" s="10"/>
      <c r="I202" s="10"/>
      <c r="J202" s="21"/>
      <c r="K202" s="29"/>
      <c r="L202" s="21"/>
    </row>
    <row r="203" spans="1:21" s="8" customFormat="1" ht="18.75" customHeight="1">
      <c r="A203" s="10"/>
      <c r="B203" s="28"/>
      <c r="C203" s="28"/>
      <c r="D203" s="10"/>
      <c r="E203" s="10"/>
      <c r="F203" s="10"/>
      <c r="G203" s="10"/>
      <c r="H203" s="10"/>
      <c r="I203" s="10"/>
      <c r="J203" s="21"/>
      <c r="K203" s="29"/>
      <c r="L203" s="21"/>
    </row>
    <row r="204" spans="1:21" s="8" customFormat="1" ht="18.75" customHeight="1">
      <c r="A204" s="10"/>
      <c r="B204" s="3"/>
      <c r="C204" s="28"/>
      <c r="D204" s="40"/>
      <c r="E204" s="40"/>
      <c r="F204" s="40"/>
      <c r="G204" s="40"/>
      <c r="H204" s="40"/>
      <c r="I204" s="10"/>
      <c r="J204" s="21"/>
      <c r="K204" s="29"/>
      <c r="L204" s="21"/>
    </row>
    <row r="205" spans="1:21" s="8" customFormat="1" ht="18.75" customHeight="1">
      <c r="A205" s="10"/>
      <c r="B205" s="3"/>
      <c r="C205" s="28"/>
      <c r="D205" s="10"/>
      <c r="E205" s="10"/>
      <c r="F205" s="10"/>
      <c r="G205" s="10"/>
      <c r="H205" s="10"/>
      <c r="I205" s="10"/>
      <c r="J205" s="21"/>
      <c r="K205" s="29"/>
      <c r="L205" s="21"/>
    </row>
    <row r="206" spans="1:21" s="8" customFormat="1" ht="18.75" customHeight="1">
      <c r="A206" s="10"/>
      <c r="B206" s="3"/>
      <c r="C206" s="28"/>
      <c r="D206" s="39"/>
      <c r="E206" s="39"/>
      <c r="F206" s="39"/>
      <c r="G206" s="39"/>
      <c r="H206" s="39"/>
      <c r="I206" s="10"/>
      <c r="J206" s="21"/>
      <c r="K206" s="29"/>
    </row>
    <row r="207" spans="1:21" s="8" customFormat="1" ht="18.75" customHeight="1">
      <c r="A207" s="10"/>
      <c r="B207" s="3"/>
      <c r="C207" s="28"/>
      <c r="D207" s="10"/>
      <c r="E207" s="10"/>
      <c r="F207" s="10"/>
      <c r="G207" s="10"/>
      <c r="H207" s="10"/>
      <c r="I207" s="10"/>
      <c r="J207" s="21"/>
      <c r="K207" s="29"/>
    </row>
    <row r="208" spans="1:21" s="8" customFormat="1" ht="18.75" customHeight="1">
      <c r="A208" s="10"/>
      <c r="B208" s="3"/>
      <c r="C208" s="28"/>
      <c r="D208" s="40"/>
      <c r="E208" s="40"/>
      <c r="F208" s="40"/>
      <c r="G208" s="40"/>
      <c r="H208" s="40"/>
      <c r="I208" s="10"/>
      <c r="J208" s="21"/>
      <c r="K208" s="29"/>
    </row>
    <row r="209" spans="1:11" s="8" customFormat="1" ht="18.75" customHeight="1">
      <c r="A209" s="10"/>
      <c r="B209" s="3"/>
      <c r="C209" s="28"/>
      <c r="D209" s="21"/>
      <c r="E209" s="21"/>
      <c r="F209" s="21"/>
      <c r="G209" s="21"/>
      <c r="H209" s="21"/>
      <c r="I209" s="10"/>
      <c r="J209" s="21"/>
      <c r="K209" s="29"/>
    </row>
    <row r="210" spans="1:11" s="8" customFormat="1" ht="18.75" customHeight="1">
      <c r="A210" s="28"/>
      <c r="B210" s="28"/>
      <c r="C210" s="28"/>
      <c r="D210" s="10"/>
      <c r="E210" s="10"/>
      <c r="F210" s="10"/>
      <c r="G210" s="10"/>
      <c r="H210" s="10"/>
      <c r="I210" s="10"/>
      <c r="J210" s="21"/>
      <c r="K210" s="29"/>
    </row>
    <row r="211" spans="1:11" s="8" customFormat="1" ht="18.75" customHeight="1">
      <c r="A211" s="28"/>
      <c r="B211" s="3"/>
      <c r="C211" s="28"/>
      <c r="D211" s="10"/>
      <c r="E211" s="10"/>
      <c r="F211" s="10"/>
      <c r="G211" s="10"/>
      <c r="H211" s="10"/>
      <c r="I211" s="10"/>
      <c r="J211" s="21"/>
      <c r="K211" s="29"/>
    </row>
    <row r="212" spans="1:11" s="8" customFormat="1" ht="18.75" customHeight="1">
      <c r="A212" s="28"/>
      <c r="B212" s="28"/>
      <c r="C212" s="28"/>
      <c r="D212" s="10"/>
      <c r="E212" s="10"/>
      <c r="F212" s="10"/>
      <c r="G212" s="10"/>
      <c r="H212" s="10"/>
      <c r="I212" s="10"/>
      <c r="J212" s="21"/>
      <c r="K212" s="29"/>
    </row>
    <row r="213" spans="1:11" s="8" customFormat="1" ht="18.75" customHeight="1">
      <c r="A213" s="28"/>
      <c r="B213" s="3"/>
      <c r="C213" s="28"/>
      <c r="D213" s="10"/>
      <c r="E213" s="10"/>
      <c r="F213" s="10"/>
      <c r="G213" s="10"/>
      <c r="H213" s="10"/>
      <c r="I213" s="10"/>
      <c r="J213" s="21"/>
      <c r="K213" s="29"/>
    </row>
    <row r="214" spans="1:11" s="8" customFormat="1" ht="18.75" customHeight="1">
      <c r="A214" s="10"/>
      <c r="B214" s="28"/>
      <c r="C214" s="28"/>
      <c r="D214" s="39"/>
      <c r="E214" s="39"/>
      <c r="F214" s="39"/>
      <c r="G214" s="39"/>
      <c r="H214" s="39"/>
      <c r="I214" s="10"/>
      <c r="J214" s="21"/>
      <c r="K214" s="29"/>
    </row>
    <row r="215" spans="1:11" s="8" customFormat="1" ht="18.75" customHeight="1">
      <c r="A215" s="10"/>
      <c r="B215" s="3"/>
      <c r="C215" s="28"/>
      <c r="D215" s="40"/>
      <c r="E215" s="40"/>
      <c r="F215" s="40"/>
      <c r="G215" s="40"/>
      <c r="H215" s="40"/>
      <c r="I215" s="10"/>
      <c r="J215" s="21"/>
      <c r="K215" s="29"/>
    </row>
    <row r="216" spans="1:11" s="8" customFormat="1" ht="18.75" customHeight="1">
      <c r="A216" s="10"/>
      <c r="B216" s="3"/>
      <c r="C216" s="28"/>
      <c r="D216" s="39"/>
      <c r="E216" s="39"/>
      <c r="F216" s="39"/>
      <c r="G216" s="39"/>
      <c r="H216" s="39"/>
      <c r="I216" s="10"/>
      <c r="J216" s="21"/>
      <c r="K216" s="29"/>
    </row>
    <row r="217" spans="1:11" s="8" customFormat="1" ht="18.75" customHeight="1">
      <c r="A217" s="10"/>
      <c r="B217" s="3"/>
      <c r="C217" s="28"/>
      <c r="D217" s="42"/>
      <c r="E217" s="42"/>
      <c r="F217" s="42"/>
      <c r="G217" s="42"/>
      <c r="H217" s="42"/>
      <c r="I217" s="10"/>
      <c r="J217" s="21"/>
      <c r="K217" s="29"/>
    </row>
    <row r="218" spans="1:11" s="8" customFormat="1" ht="18.75" customHeight="1">
      <c r="A218" s="10"/>
      <c r="B218" s="28"/>
      <c r="C218" s="28"/>
      <c r="D218" s="10"/>
      <c r="E218" s="10"/>
      <c r="F218" s="10"/>
      <c r="G218" s="10"/>
      <c r="H218" s="10"/>
      <c r="I218" s="10"/>
      <c r="J218" s="21"/>
      <c r="K218" s="29"/>
    </row>
    <row r="219" spans="1:11" s="8" customFormat="1" ht="18.75" customHeight="1">
      <c r="A219" s="10"/>
      <c r="B219" s="3"/>
      <c r="C219" s="28"/>
      <c r="D219" s="42"/>
      <c r="E219" s="42"/>
      <c r="F219" s="42"/>
      <c r="G219" s="42"/>
      <c r="H219" s="42"/>
      <c r="I219" s="10"/>
      <c r="J219" s="21"/>
      <c r="K219" s="29"/>
    </row>
    <row r="220" spans="1:11" s="8" customFormat="1" ht="18.75" customHeight="1">
      <c r="A220" s="10"/>
      <c r="B220" s="3"/>
      <c r="C220" s="28"/>
      <c r="D220" s="42"/>
      <c r="E220" s="42"/>
      <c r="F220" s="42"/>
      <c r="G220" s="42"/>
      <c r="H220" s="42"/>
      <c r="I220" s="10"/>
      <c r="J220" s="21"/>
      <c r="K220" s="29"/>
    </row>
    <row r="221" spans="1:11" s="8" customFormat="1" ht="18.75" customHeight="1">
      <c r="A221" s="10"/>
      <c r="B221" s="3"/>
      <c r="C221" s="28"/>
      <c r="D221" s="10"/>
      <c r="E221" s="10"/>
      <c r="F221" s="10"/>
      <c r="G221" s="10"/>
      <c r="H221" s="10"/>
      <c r="I221" s="10"/>
      <c r="J221" s="21"/>
      <c r="K221" s="29"/>
    </row>
    <row r="222" spans="1:11" s="8" customFormat="1" ht="18.75" customHeight="1">
      <c r="A222" s="10"/>
      <c r="B222" s="3"/>
      <c r="C222" s="28"/>
      <c r="D222" s="42"/>
      <c r="E222" s="42"/>
      <c r="F222" s="42"/>
      <c r="G222" s="42"/>
      <c r="H222" s="42"/>
      <c r="I222" s="10"/>
      <c r="J222" s="21"/>
      <c r="K222" s="29"/>
    </row>
    <row r="223" spans="1:11" s="8" customFormat="1" ht="18.75" customHeight="1">
      <c r="A223" s="10"/>
      <c r="B223" s="3"/>
      <c r="C223" s="28"/>
      <c r="D223" s="10"/>
      <c r="E223" s="10"/>
      <c r="F223" s="10"/>
      <c r="G223" s="10"/>
      <c r="H223" s="10"/>
      <c r="I223" s="10"/>
      <c r="J223" s="21"/>
      <c r="K223" s="29"/>
    </row>
    <row r="224" spans="1:11" s="8" customFormat="1" ht="17">
      <c r="A224" s="10"/>
      <c r="B224" s="3"/>
      <c r="C224" s="28"/>
      <c r="D224" s="10"/>
      <c r="E224" s="10"/>
      <c r="F224" s="10"/>
      <c r="G224" s="10"/>
      <c r="H224" s="10"/>
      <c r="I224" s="10"/>
      <c r="J224" s="21"/>
      <c r="K224" s="29"/>
    </row>
    <row r="225" spans="1:11" s="8" customFormat="1" ht="17">
      <c r="A225" s="10"/>
      <c r="B225" s="3"/>
      <c r="C225" s="28"/>
      <c r="D225" s="10"/>
      <c r="E225" s="10"/>
      <c r="F225" s="10"/>
      <c r="G225" s="10"/>
      <c r="H225" s="10"/>
      <c r="I225" s="10"/>
      <c r="J225" s="21"/>
      <c r="K225" s="29"/>
    </row>
    <row r="226" spans="1:11" s="8" customFormat="1" ht="17">
      <c r="A226" s="10"/>
      <c r="B226" s="3"/>
      <c r="C226" s="28"/>
      <c r="D226" s="10"/>
      <c r="E226" s="10"/>
      <c r="F226" s="10"/>
      <c r="G226" s="10"/>
      <c r="H226" s="10"/>
      <c r="I226" s="10"/>
      <c r="J226" s="21"/>
      <c r="K226" s="29"/>
    </row>
    <row r="227" spans="1:11" s="8" customFormat="1" ht="17">
      <c r="A227" s="10"/>
      <c r="B227" s="34"/>
      <c r="C227" s="28"/>
      <c r="D227" s="40"/>
      <c r="E227" s="40"/>
      <c r="F227" s="40"/>
      <c r="G227" s="40"/>
      <c r="H227" s="40"/>
      <c r="I227" s="28"/>
      <c r="J227" s="21"/>
      <c r="K227" s="29"/>
    </row>
    <row r="228" spans="1:11" s="8" customFormat="1" ht="17">
      <c r="A228" s="10"/>
      <c r="B228" s="3"/>
      <c r="C228" s="28"/>
      <c r="D228" s="42"/>
      <c r="E228" s="42"/>
      <c r="F228" s="42"/>
      <c r="G228" s="42"/>
      <c r="H228" s="42"/>
      <c r="I228" s="10"/>
      <c r="J228" s="21"/>
      <c r="K228" s="29"/>
    </row>
    <row r="229" spans="1:11" s="8" customFormat="1" ht="17">
      <c r="A229" s="10"/>
      <c r="B229" s="3"/>
      <c r="C229" s="28"/>
      <c r="D229" s="39"/>
      <c r="E229" s="39"/>
      <c r="F229" s="39"/>
      <c r="G229" s="39"/>
      <c r="H229" s="39"/>
      <c r="I229" s="10"/>
      <c r="J229" s="21"/>
      <c r="K229" s="29"/>
    </row>
    <row r="230" spans="1:11" s="8" customFormat="1" ht="17">
      <c r="A230" s="10"/>
      <c r="B230" s="3"/>
      <c r="C230" s="28"/>
      <c r="D230" s="10"/>
      <c r="E230" s="10"/>
      <c r="F230" s="10"/>
      <c r="G230" s="10"/>
      <c r="H230" s="10"/>
      <c r="I230" s="10"/>
      <c r="J230" s="21"/>
      <c r="K230" s="29"/>
    </row>
    <row r="231" spans="1:11" s="8" customFormat="1" ht="17">
      <c r="A231" s="28"/>
      <c r="B231" s="3"/>
      <c r="C231" s="28"/>
      <c r="D231" s="10"/>
      <c r="E231" s="10"/>
      <c r="F231" s="10"/>
      <c r="G231" s="10"/>
      <c r="H231" s="10"/>
      <c r="I231" s="10"/>
      <c r="J231" s="21"/>
      <c r="K231" s="29"/>
    </row>
    <row r="232" spans="1:11" s="8" customFormat="1" ht="17">
      <c r="A232" s="10"/>
      <c r="B232" s="3"/>
      <c r="C232" s="28"/>
      <c r="D232" s="39"/>
      <c r="E232" s="39"/>
      <c r="F232" s="39"/>
      <c r="G232" s="39"/>
      <c r="H232" s="39"/>
      <c r="I232" s="10"/>
      <c r="J232" s="21"/>
      <c r="K232" s="29"/>
    </row>
    <row r="233" spans="1:11" s="8" customFormat="1" ht="17">
      <c r="A233" s="10"/>
      <c r="B233" s="3"/>
      <c r="C233" s="28"/>
      <c r="D233" s="10"/>
      <c r="E233" s="10"/>
      <c r="F233" s="10"/>
      <c r="G233" s="10"/>
      <c r="H233" s="10"/>
      <c r="I233" s="10"/>
      <c r="J233" s="21"/>
      <c r="K233" s="29"/>
    </row>
    <row r="234" spans="1:11" s="8" customFormat="1" ht="17">
      <c r="A234" s="10"/>
      <c r="B234" s="3"/>
      <c r="C234" s="28"/>
      <c r="D234" s="10"/>
      <c r="E234" s="10"/>
      <c r="F234" s="10"/>
      <c r="G234" s="10"/>
      <c r="H234" s="10"/>
      <c r="I234" s="10"/>
      <c r="J234" s="21"/>
      <c r="K234" s="29"/>
    </row>
    <row r="235" spans="1:11" s="8" customFormat="1" ht="17">
      <c r="A235" s="10"/>
      <c r="B235" s="3"/>
      <c r="C235" s="28"/>
      <c r="D235" s="10"/>
      <c r="E235" s="10"/>
      <c r="F235" s="10"/>
      <c r="G235" s="10"/>
      <c r="H235" s="10"/>
      <c r="I235" s="10"/>
      <c r="J235" s="21"/>
      <c r="K235" s="29"/>
    </row>
    <row r="236" spans="1:11" s="8" customFormat="1" ht="17">
      <c r="A236" s="10"/>
      <c r="B236" s="3"/>
      <c r="C236" s="28"/>
      <c r="D236" s="10"/>
      <c r="E236" s="10"/>
      <c r="F236" s="10"/>
      <c r="G236" s="10"/>
      <c r="H236" s="10"/>
      <c r="I236" s="10"/>
      <c r="J236" s="21"/>
      <c r="K236" s="29"/>
    </row>
    <row r="237" spans="1:11" s="8" customFormat="1" ht="17">
      <c r="A237" s="28"/>
      <c r="B237" s="3"/>
      <c r="C237" s="28"/>
      <c r="D237" s="10"/>
      <c r="E237" s="10"/>
      <c r="F237" s="10"/>
      <c r="G237" s="10"/>
      <c r="H237" s="10"/>
      <c r="I237" s="10"/>
      <c r="J237" s="21"/>
      <c r="K237" s="29"/>
    </row>
    <row r="238" spans="1:11" s="8" customFormat="1" ht="17">
      <c r="A238" s="28"/>
      <c r="B238" s="3"/>
      <c r="C238" s="28"/>
      <c r="D238" s="10"/>
      <c r="E238" s="10"/>
      <c r="F238" s="10"/>
      <c r="G238" s="10"/>
      <c r="H238" s="10"/>
      <c r="I238" s="10"/>
      <c r="J238" s="21"/>
      <c r="K238" s="29"/>
    </row>
    <row r="239" spans="1:11" s="8" customFormat="1" ht="17">
      <c r="A239" s="10"/>
      <c r="B239" s="34"/>
      <c r="C239" s="28"/>
      <c r="D239" s="40"/>
      <c r="E239" s="40"/>
      <c r="F239" s="40"/>
      <c r="G239" s="40"/>
      <c r="H239" s="40"/>
      <c r="I239" s="28"/>
      <c r="J239" s="21"/>
      <c r="K239" s="29"/>
    </row>
    <row r="240" spans="1:11" s="8" customFormat="1" ht="17">
      <c r="A240" s="10"/>
      <c r="B240" s="28"/>
      <c r="C240" s="28"/>
      <c r="D240" s="40"/>
      <c r="E240" s="40"/>
      <c r="F240" s="40"/>
      <c r="G240" s="40"/>
      <c r="H240" s="40"/>
      <c r="I240" s="28"/>
      <c r="J240" s="21"/>
      <c r="K240" s="29"/>
    </row>
    <row r="241" spans="1:13" s="8" customFormat="1" ht="17">
      <c r="A241" s="10"/>
      <c r="B241" s="3"/>
      <c r="C241" s="28"/>
      <c r="D241" s="10"/>
      <c r="E241" s="10"/>
      <c r="F241" s="10"/>
      <c r="G241" s="10"/>
      <c r="H241" s="10"/>
      <c r="I241" s="10"/>
      <c r="J241" s="21"/>
      <c r="K241" s="29"/>
    </row>
    <row r="242" spans="1:13" s="8" customFormat="1" ht="17">
      <c r="A242" s="10"/>
      <c r="B242" s="3"/>
      <c r="C242" s="28"/>
      <c r="D242" s="10"/>
      <c r="E242" s="10"/>
      <c r="F242" s="10"/>
      <c r="G242" s="10"/>
      <c r="H242" s="10"/>
      <c r="I242" s="10"/>
      <c r="J242" s="21"/>
      <c r="K242" s="29"/>
    </row>
    <row r="243" spans="1:13" s="8" customFormat="1" ht="17">
      <c r="A243" s="10"/>
      <c r="B243" s="34"/>
      <c r="C243" s="28"/>
      <c r="D243" s="39"/>
      <c r="E243" s="39"/>
      <c r="F243" s="39"/>
      <c r="G243" s="39"/>
      <c r="H243" s="39"/>
      <c r="I243" s="10"/>
      <c r="J243" s="21"/>
      <c r="K243" s="29"/>
    </row>
    <row r="244" spans="1:13" s="8" customFormat="1" ht="17">
      <c r="A244" s="10"/>
      <c r="B244" s="3"/>
      <c r="C244" s="28"/>
      <c r="D244" s="10"/>
      <c r="E244" s="10"/>
      <c r="F244" s="10"/>
      <c r="G244" s="10"/>
      <c r="H244" s="10"/>
      <c r="I244" s="10"/>
      <c r="J244" s="21"/>
      <c r="K244" s="29"/>
    </row>
    <row r="245" spans="1:13" s="8" customFormat="1" ht="17">
      <c r="A245" s="10"/>
      <c r="B245" s="3"/>
      <c r="C245" s="28"/>
      <c r="D245" s="10"/>
      <c r="E245" s="10"/>
      <c r="F245" s="10"/>
      <c r="G245" s="10"/>
      <c r="H245" s="10"/>
      <c r="I245" s="10"/>
      <c r="J245" s="21"/>
      <c r="K245" s="29"/>
    </row>
    <row r="246" spans="1:13" s="8" customFormat="1" ht="17">
      <c r="A246" s="10"/>
      <c r="B246" s="3"/>
      <c r="C246" s="28"/>
      <c r="D246" s="10"/>
      <c r="E246" s="10"/>
      <c r="F246" s="10"/>
      <c r="G246" s="10"/>
      <c r="H246" s="10"/>
      <c r="I246" s="10"/>
      <c r="J246" s="21"/>
      <c r="K246" s="29"/>
    </row>
    <row r="247" spans="1:13" s="8" customFormat="1" ht="17">
      <c r="A247" s="10"/>
      <c r="B247" s="34"/>
      <c r="C247" s="28"/>
      <c r="D247" s="40"/>
      <c r="E247" s="40"/>
      <c r="F247" s="40"/>
      <c r="G247" s="40"/>
      <c r="H247" s="40"/>
      <c r="I247" s="28"/>
      <c r="J247" s="21"/>
      <c r="K247" s="29"/>
    </row>
    <row r="248" spans="1:13" s="8" customFormat="1" ht="17">
      <c r="A248" s="10"/>
      <c r="B248" s="28"/>
      <c r="C248" s="28"/>
      <c r="D248" s="40"/>
      <c r="E248" s="40"/>
      <c r="F248" s="40"/>
      <c r="G248" s="40"/>
      <c r="H248" s="40"/>
      <c r="I248" s="28"/>
      <c r="J248" s="21"/>
      <c r="K248" s="29"/>
    </row>
    <row r="249" spans="1:13" s="8" customFormat="1" ht="17">
      <c r="A249" s="10"/>
      <c r="B249" s="28"/>
      <c r="C249" s="28"/>
      <c r="D249" s="40"/>
      <c r="E249" s="40"/>
      <c r="F249" s="40"/>
      <c r="G249" s="40"/>
      <c r="H249" s="40"/>
      <c r="I249" s="28"/>
      <c r="J249" s="21"/>
      <c r="K249" s="29"/>
    </row>
    <row r="250" spans="1:13" s="8" customFormat="1" ht="17">
      <c r="A250" s="10"/>
      <c r="B250" s="3"/>
      <c r="C250" s="28"/>
      <c r="D250" s="40"/>
      <c r="E250" s="40"/>
      <c r="F250" s="40"/>
      <c r="G250" s="40"/>
      <c r="H250" s="40"/>
      <c r="I250" s="10"/>
      <c r="J250" s="21"/>
      <c r="K250" s="29"/>
    </row>
    <row r="251" spans="1:13" s="8" customFormat="1" ht="17">
      <c r="A251" s="10"/>
      <c r="B251" s="28"/>
      <c r="C251" s="28"/>
      <c r="D251" s="40"/>
      <c r="E251" s="40"/>
      <c r="F251" s="40"/>
      <c r="G251" s="40"/>
      <c r="H251" s="40"/>
      <c r="I251" s="28"/>
      <c r="J251" s="21"/>
      <c r="K251" s="29"/>
    </row>
    <row r="252" spans="1:13" s="8" customFormat="1" ht="17">
      <c r="A252" s="10"/>
      <c r="B252" s="34"/>
      <c r="C252" s="28"/>
      <c r="D252" s="39"/>
      <c r="E252" s="39"/>
      <c r="F252" s="39"/>
      <c r="G252" s="39"/>
      <c r="H252" s="39"/>
      <c r="I252" s="10"/>
      <c r="J252" s="21"/>
      <c r="K252" s="29"/>
    </row>
    <row r="253" spans="1:13" s="8" customFormat="1" ht="17">
      <c r="A253" s="10"/>
      <c r="B253" s="34"/>
      <c r="C253" s="28"/>
      <c r="D253" s="39"/>
      <c r="E253" s="39"/>
      <c r="F253" s="39"/>
      <c r="G253" s="39"/>
      <c r="H253" s="39"/>
      <c r="I253" s="10"/>
      <c r="J253" s="21"/>
      <c r="K253" s="29"/>
      <c r="M253" s="5"/>
    </row>
    <row r="254" spans="1:13" s="8" customFormat="1" ht="17">
      <c r="A254" s="10"/>
      <c r="B254" s="34"/>
      <c r="C254" s="28"/>
      <c r="D254" s="39"/>
      <c r="E254" s="39"/>
      <c r="F254" s="39"/>
      <c r="G254" s="39"/>
      <c r="H254" s="39"/>
      <c r="I254" s="10"/>
      <c r="J254" s="21"/>
      <c r="K254" s="29"/>
      <c r="M254" s="5"/>
    </row>
    <row r="255" spans="1:13" s="8" customFormat="1" ht="17">
      <c r="A255" s="28"/>
      <c r="B255" s="34"/>
      <c r="C255" s="28"/>
      <c r="D255" s="39"/>
      <c r="E255" s="39"/>
      <c r="F255" s="39"/>
      <c r="G255" s="39"/>
      <c r="H255" s="39"/>
      <c r="I255" s="10"/>
      <c r="J255" s="21"/>
      <c r="K255" s="29"/>
      <c r="M255" s="5"/>
    </row>
    <row r="256" spans="1:13" s="8" customFormat="1" ht="17">
      <c r="A256" s="10"/>
      <c r="B256" s="3"/>
      <c r="C256" s="28"/>
      <c r="D256" s="10"/>
      <c r="E256" s="10"/>
      <c r="F256" s="10"/>
      <c r="G256" s="10"/>
      <c r="H256" s="10"/>
      <c r="I256" s="10"/>
      <c r="J256" s="21"/>
      <c r="K256" s="29"/>
      <c r="M256" s="5"/>
    </row>
    <row r="257" spans="1:13" s="8" customFormat="1" ht="17">
      <c r="A257" s="10"/>
      <c r="B257" s="3"/>
      <c r="C257" s="28"/>
      <c r="D257" s="10"/>
      <c r="E257" s="10"/>
      <c r="F257" s="10"/>
      <c r="G257" s="10"/>
      <c r="H257" s="10"/>
      <c r="I257" s="10"/>
      <c r="J257" s="21"/>
      <c r="K257" s="29"/>
      <c r="M257" s="5"/>
    </row>
    <row r="258" spans="1:13" s="8" customFormat="1" ht="17">
      <c r="A258" s="10"/>
      <c r="B258" s="35"/>
      <c r="C258" s="28"/>
      <c r="D258" s="39"/>
      <c r="E258" s="39"/>
      <c r="F258" s="39"/>
      <c r="G258" s="39"/>
      <c r="H258" s="39"/>
      <c r="I258" s="10"/>
      <c r="J258" s="21"/>
      <c r="K258" s="29"/>
    </row>
    <row r="259" spans="1:13" s="8" customFormat="1" ht="17">
      <c r="A259" s="10"/>
      <c r="B259" s="28"/>
      <c r="C259" s="28"/>
      <c r="D259" s="39"/>
      <c r="E259" s="39"/>
      <c r="F259" s="39"/>
      <c r="G259" s="39"/>
      <c r="H259" s="39"/>
      <c r="I259" s="10"/>
      <c r="J259" s="21"/>
      <c r="K259" s="29"/>
      <c r="M259" s="5"/>
    </row>
    <row r="260" spans="1:13" s="8" customFormat="1" ht="17">
      <c r="A260" s="10"/>
      <c r="B260" s="28"/>
      <c r="C260" s="28"/>
      <c r="D260" s="39"/>
      <c r="E260" s="39"/>
      <c r="F260" s="39"/>
      <c r="G260" s="39"/>
      <c r="H260" s="39"/>
      <c r="I260" s="10"/>
      <c r="J260" s="21"/>
      <c r="K260" s="29"/>
      <c r="M260" s="5"/>
    </row>
    <row r="261" spans="1:13" s="8" customFormat="1" ht="17">
      <c r="A261" s="10"/>
      <c r="B261" s="28"/>
      <c r="C261" s="28"/>
      <c r="D261" s="39"/>
      <c r="E261" s="39"/>
      <c r="F261" s="39"/>
      <c r="G261" s="39"/>
      <c r="H261" s="39"/>
      <c r="I261" s="10"/>
      <c r="J261" s="21"/>
      <c r="K261" s="29"/>
      <c r="M261" s="5"/>
    </row>
    <row r="262" spans="1:13" s="8" customFormat="1" ht="17">
      <c r="A262" s="10"/>
      <c r="B262" s="3"/>
      <c r="C262" s="28"/>
      <c r="D262" s="10"/>
      <c r="E262" s="10"/>
      <c r="F262" s="10"/>
      <c r="G262" s="10"/>
      <c r="H262" s="10"/>
      <c r="I262" s="10"/>
      <c r="J262" s="21"/>
      <c r="K262" s="29"/>
      <c r="M262" s="5"/>
    </row>
    <row r="263" spans="1:13" s="8" customFormat="1" ht="17">
      <c r="A263" s="10"/>
      <c r="B263" s="28"/>
      <c r="C263" s="28"/>
      <c r="D263" s="40"/>
      <c r="E263" s="40"/>
      <c r="F263" s="40"/>
      <c r="G263" s="40"/>
      <c r="H263" s="40"/>
      <c r="I263" s="10"/>
      <c r="J263" s="21"/>
      <c r="K263" s="29"/>
      <c r="M263" s="5"/>
    </row>
    <row r="264" spans="1:13" s="8" customFormat="1" ht="17">
      <c r="A264" s="10"/>
      <c r="B264" s="28"/>
      <c r="C264" s="28"/>
      <c r="D264" s="40"/>
      <c r="E264" s="40"/>
      <c r="F264" s="40"/>
      <c r="G264" s="40"/>
      <c r="H264" s="40"/>
      <c r="I264" s="10"/>
      <c r="J264" s="21"/>
      <c r="K264" s="29"/>
    </row>
    <row r="265" spans="1:13" s="8" customFormat="1" ht="17">
      <c r="A265" s="10"/>
      <c r="B265" s="34"/>
      <c r="C265" s="28"/>
      <c r="D265" s="39"/>
      <c r="E265" s="39"/>
      <c r="F265" s="39"/>
      <c r="G265" s="39"/>
      <c r="H265" s="39"/>
      <c r="I265" s="10"/>
      <c r="J265" s="21"/>
      <c r="K265" s="29"/>
      <c r="M265" s="5"/>
    </row>
    <row r="266" spans="1:13" s="8" customFormat="1" ht="17">
      <c r="A266" s="10"/>
      <c r="B266" s="28"/>
      <c r="C266" s="28"/>
      <c r="D266" s="40"/>
      <c r="E266" s="40"/>
      <c r="F266" s="40"/>
      <c r="G266" s="40"/>
      <c r="H266" s="40"/>
      <c r="I266" s="10"/>
      <c r="J266" s="21"/>
      <c r="K266" s="29"/>
      <c r="M266" s="5"/>
    </row>
    <row r="267" spans="1:13" s="8" customFormat="1" ht="17">
      <c r="A267" s="10"/>
      <c r="B267" s="28"/>
      <c r="C267" s="28"/>
      <c r="D267" s="40"/>
      <c r="E267" s="40"/>
      <c r="F267" s="40"/>
      <c r="G267" s="40"/>
      <c r="H267" s="40"/>
      <c r="I267" s="10"/>
      <c r="J267" s="21"/>
      <c r="K267" s="29"/>
      <c r="M267" s="5"/>
    </row>
    <row r="268" spans="1:13" s="8" customFormat="1" ht="17">
      <c r="A268" s="10"/>
      <c r="B268" s="28"/>
      <c r="C268" s="28"/>
      <c r="D268" s="40"/>
      <c r="E268" s="40"/>
      <c r="F268" s="40"/>
      <c r="G268" s="40"/>
      <c r="H268" s="40"/>
      <c r="I268" s="10"/>
      <c r="J268" s="21"/>
      <c r="K268" s="29"/>
      <c r="M268" s="5"/>
    </row>
    <row r="269" spans="1:13" s="8" customFormat="1" ht="17">
      <c r="A269" s="10"/>
      <c r="B269" s="28"/>
      <c r="C269" s="28"/>
      <c r="D269" s="40"/>
      <c r="E269" s="40"/>
      <c r="F269" s="40"/>
      <c r="G269" s="40"/>
      <c r="H269" s="40"/>
      <c r="I269" s="10"/>
      <c r="J269" s="21"/>
      <c r="K269" s="29"/>
      <c r="M269" s="5"/>
    </row>
    <row r="270" spans="1:13" s="8" customFormat="1" ht="17">
      <c r="A270" s="10"/>
      <c r="B270" s="34"/>
      <c r="C270" s="28"/>
      <c r="D270" s="39"/>
      <c r="E270" s="39"/>
      <c r="F270" s="39"/>
      <c r="G270" s="39"/>
      <c r="H270" s="39"/>
      <c r="I270" s="10"/>
      <c r="J270" s="21"/>
      <c r="K270" s="29"/>
      <c r="M270" s="5"/>
    </row>
    <row r="271" spans="1:13" s="8" customFormat="1" ht="17">
      <c r="A271" s="10"/>
      <c r="B271" s="3"/>
      <c r="C271" s="28"/>
      <c r="D271" s="40"/>
      <c r="E271" s="40"/>
      <c r="F271" s="40"/>
      <c r="G271" s="40"/>
      <c r="H271" s="40"/>
      <c r="I271" s="10"/>
      <c r="J271" s="21"/>
      <c r="K271" s="29"/>
      <c r="M271" s="5"/>
    </row>
    <row r="272" spans="1:13" s="8" customFormat="1" ht="17">
      <c r="A272" s="10"/>
      <c r="B272" s="3"/>
      <c r="C272" s="28"/>
      <c r="D272" s="21"/>
      <c r="E272" s="21"/>
      <c r="F272" s="21"/>
      <c r="G272" s="21"/>
      <c r="H272" s="21"/>
      <c r="I272" s="10"/>
      <c r="J272" s="21"/>
      <c r="K272" s="29"/>
      <c r="M272" s="5"/>
    </row>
    <row r="273" spans="1:13" s="8" customFormat="1" ht="17">
      <c r="A273" s="10"/>
      <c r="B273" s="28"/>
      <c r="C273" s="28"/>
      <c r="D273" s="40"/>
      <c r="E273" s="40"/>
      <c r="F273" s="40"/>
      <c r="G273" s="40"/>
      <c r="H273" s="40"/>
      <c r="I273" s="10"/>
      <c r="J273" s="21"/>
      <c r="K273" s="29"/>
      <c r="M273" s="5"/>
    </row>
    <row r="274" spans="1:13" s="8" customFormat="1" ht="17">
      <c r="A274" s="10"/>
      <c r="B274" s="28"/>
      <c r="C274" s="28"/>
      <c r="D274" s="40"/>
      <c r="E274" s="40"/>
      <c r="F274" s="40"/>
      <c r="G274" s="40"/>
      <c r="H274" s="40"/>
      <c r="I274" s="10"/>
      <c r="J274" s="21"/>
      <c r="K274" s="29"/>
      <c r="M274" s="5"/>
    </row>
    <row r="275" spans="1:13" s="8" customFormat="1" ht="17">
      <c r="A275" s="10"/>
      <c r="B275" s="3"/>
      <c r="C275" s="28"/>
      <c r="D275" s="10"/>
      <c r="E275" s="10"/>
      <c r="F275" s="10"/>
      <c r="G275" s="10"/>
      <c r="H275" s="10"/>
      <c r="I275" s="10"/>
      <c r="J275" s="21"/>
      <c r="K275" s="29"/>
      <c r="M275" s="5"/>
    </row>
    <row r="276" spans="1:13" s="8" customFormat="1" ht="17">
      <c r="A276" s="10"/>
      <c r="B276" s="28"/>
      <c r="C276" s="28"/>
      <c r="D276" s="40"/>
      <c r="E276" s="40"/>
      <c r="F276" s="40"/>
      <c r="G276" s="40"/>
      <c r="H276" s="40"/>
      <c r="I276" s="10"/>
      <c r="J276" s="21"/>
      <c r="K276" s="29"/>
      <c r="M276" s="5"/>
    </row>
    <row r="277" spans="1:13" s="8" customFormat="1" ht="21" customHeight="1">
      <c r="A277" s="10"/>
      <c r="B277" s="3"/>
      <c r="C277" s="28"/>
      <c r="D277" s="10"/>
      <c r="E277" s="10"/>
      <c r="F277" s="10"/>
      <c r="G277" s="10"/>
      <c r="H277" s="10"/>
      <c r="I277" s="10"/>
      <c r="J277" s="21"/>
      <c r="K277" s="29"/>
      <c r="M277" s="5"/>
    </row>
    <row r="278" spans="1:13" s="8" customFormat="1" ht="21" customHeight="1">
      <c r="A278" s="10"/>
      <c r="B278" s="28"/>
      <c r="C278" s="28"/>
      <c r="D278" s="39"/>
      <c r="E278" s="39"/>
      <c r="F278" s="39"/>
      <c r="G278" s="39"/>
      <c r="H278" s="39"/>
      <c r="I278" s="10"/>
      <c r="J278" s="21"/>
      <c r="K278" s="29"/>
      <c r="M278" s="5"/>
    </row>
    <row r="279" spans="1:13" s="8" customFormat="1" ht="21" customHeight="1">
      <c r="A279" s="10"/>
      <c r="B279" s="28"/>
      <c r="C279" s="28"/>
      <c r="D279" s="39"/>
      <c r="E279" s="39"/>
      <c r="F279" s="39"/>
      <c r="G279" s="39"/>
      <c r="H279" s="39"/>
      <c r="I279" s="10"/>
      <c r="J279" s="21"/>
      <c r="K279" s="29"/>
      <c r="M279" s="5"/>
    </row>
    <row r="280" spans="1:13" s="8" customFormat="1" ht="21" customHeight="1">
      <c r="A280" s="10"/>
      <c r="B280" s="28"/>
      <c r="C280" s="28"/>
      <c r="D280" s="39"/>
      <c r="E280" s="39"/>
      <c r="F280" s="39"/>
      <c r="G280" s="39"/>
      <c r="H280" s="39"/>
      <c r="I280" s="10"/>
      <c r="J280" s="21"/>
      <c r="K280" s="29"/>
      <c r="M280" s="5"/>
    </row>
    <row r="281" spans="1:13" s="8" customFormat="1" ht="21" customHeight="1">
      <c r="A281" s="10"/>
      <c r="B281" s="28"/>
      <c r="C281" s="28"/>
      <c r="D281" s="39"/>
      <c r="E281" s="39"/>
      <c r="F281" s="39"/>
      <c r="G281" s="39"/>
      <c r="H281" s="39"/>
      <c r="I281" s="10"/>
      <c r="J281" s="21"/>
      <c r="K281" s="29"/>
      <c r="M281" s="5"/>
    </row>
    <row r="282" spans="1:13" s="8" customFormat="1" ht="21" customHeight="1">
      <c r="A282" s="10"/>
      <c r="B282" s="28"/>
      <c r="C282" s="28"/>
      <c r="D282" s="39"/>
      <c r="E282" s="39"/>
      <c r="F282" s="39"/>
      <c r="G282" s="39"/>
      <c r="H282" s="39"/>
      <c r="I282" s="10"/>
      <c r="J282" s="21"/>
      <c r="K282" s="29"/>
      <c r="M282" s="5"/>
    </row>
    <row r="283" spans="1:13" s="8" customFormat="1" ht="21" customHeight="1">
      <c r="A283" s="10"/>
      <c r="B283" s="34"/>
      <c r="C283" s="28"/>
      <c r="D283" s="40"/>
      <c r="E283" s="40"/>
      <c r="F283" s="40"/>
      <c r="G283" s="40"/>
      <c r="H283" s="40"/>
      <c r="I283" s="28"/>
      <c r="J283" s="21"/>
      <c r="K283" s="29"/>
      <c r="M283" s="5"/>
    </row>
    <row r="284" spans="1:13" s="8" customFormat="1" ht="21" customHeight="1">
      <c r="A284" s="10"/>
      <c r="B284" s="28"/>
      <c r="C284" s="28"/>
      <c r="D284" s="39"/>
      <c r="E284" s="39"/>
      <c r="F284" s="39"/>
      <c r="G284" s="39"/>
      <c r="H284" s="39"/>
      <c r="I284" s="10"/>
      <c r="J284" s="21"/>
      <c r="K284" s="29"/>
      <c r="M284" s="5"/>
    </row>
    <row r="285" spans="1:13" s="8" customFormat="1" ht="21" customHeight="1">
      <c r="A285" s="10"/>
      <c r="B285" s="28"/>
      <c r="C285" s="28"/>
      <c r="D285" s="39"/>
      <c r="E285" s="39"/>
      <c r="F285" s="39"/>
      <c r="G285" s="39"/>
      <c r="H285" s="39"/>
      <c r="I285" s="10"/>
      <c r="J285" s="21"/>
      <c r="K285" s="29"/>
    </row>
    <row r="286" spans="1:13" s="8" customFormat="1" ht="21" customHeight="1">
      <c r="A286" s="10"/>
      <c r="B286" s="43"/>
      <c r="C286" s="28"/>
      <c r="D286" s="39"/>
      <c r="E286" s="39"/>
      <c r="F286" s="39"/>
      <c r="G286" s="39"/>
      <c r="H286" s="39"/>
      <c r="I286" s="10"/>
      <c r="J286" s="21"/>
      <c r="K286" s="29"/>
      <c r="M286" s="5"/>
    </row>
    <row r="287" spans="1:13" s="8" customFormat="1" ht="21" customHeight="1">
      <c r="A287" s="10"/>
      <c r="B287" s="28"/>
      <c r="C287" s="28"/>
      <c r="D287" s="39"/>
      <c r="E287" s="39"/>
      <c r="F287" s="39"/>
      <c r="G287" s="39"/>
      <c r="H287" s="39"/>
      <c r="I287" s="10"/>
      <c r="J287" s="21"/>
      <c r="K287" s="29"/>
      <c r="M287" s="5"/>
    </row>
    <row r="288" spans="1:13" s="8" customFormat="1" ht="21" customHeight="1">
      <c r="A288" s="10"/>
      <c r="B288" s="28"/>
      <c r="C288" s="28"/>
      <c r="D288" s="10"/>
      <c r="E288" s="10"/>
      <c r="F288" s="10"/>
      <c r="G288" s="10"/>
      <c r="H288" s="10"/>
      <c r="I288" s="10"/>
      <c r="J288" s="21"/>
      <c r="K288" s="29"/>
      <c r="M288" s="5"/>
    </row>
    <row r="289" spans="1:13" s="8" customFormat="1" ht="21" customHeight="1">
      <c r="A289" s="10"/>
      <c r="B289" s="28"/>
      <c r="C289" s="28"/>
      <c r="D289" s="10"/>
      <c r="E289" s="10"/>
      <c r="F289" s="10"/>
      <c r="G289" s="10"/>
      <c r="H289" s="10"/>
      <c r="I289" s="10"/>
      <c r="J289" s="21"/>
      <c r="K289" s="29"/>
      <c r="M289" s="5"/>
    </row>
    <row r="290" spans="1:13" s="8" customFormat="1" ht="21" customHeight="1">
      <c r="A290" s="10"/>
      <c r="B290" s="28"/>
      <c r="C290" s="28"/>
      <c r="D290" s="39"/>
      <c r="E290" s="39"/>
      <c r="F290" s="39"/>
      <c r="G290" s="39"/>
      <c r="H290" s="39"/>
      <c r="I290" s="10"/>
      <c r="J290" s="21"/>
      <c r="K290" s="29"/>
      <c r="M290" s="5"/>
    </row>
    <row r="291" spans="1:13" ht="21" customHeight="1">
      <c r="A291" s="10"/>
      <c r="B291" s="28"/>
      <c r="C291" s="28"/>
      <c r="D291" s="39"/>
      <c r="E291" s="39"/>
      <c r="F291" s="39"/>
      <c r="G291" s="39"/>
      <c r="H291" s="39"/>
      <c r="I291" s="10"/>
      <c r="J291" s="21"/>
      <c r="K291" s="29"/>
    </row>
    <row r="292" spans="1:13" ht="21" customHeight="1"/>
    <row r="293" spans="1:13" ht="21" customHeight="1"/>
    <row r="294" spans="1:13" ht="21" customHeight="1"/>
    <row r="295" spans="1:13" ht="21" customHeight="1"/>
    <row r="296" spans="1:13" ht="21" customHeight="1"/>
    <row r="297" spans="1:13" ht="21" customHeight="1"/>
    <row r="298" spans="1:13" ht="21" customHeight="1"/>
    <row r="299" spans="1:13" ht="21" customHeight="1"/>
    <row r="300" spans="1:13" ht="21" customHeight="1"/>
    <row r="301" spans="1:13" ht="21" customHeight="1"/>
    <row r="302" spans="1:13" ht="21" customHeight="1"/>
    <row r="303" spans="1:13" ht="21" customHeight="1"/>
    <row r="304" spans="1:13"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sheetData>
  <autoFilter ref="A4:AA179">
    <sortState ref="A5:Z179">
      <sortCondition descending="1" ref="J4:J179"/>
    </sortState>
  </autoFilter>
  <conditionalFormatting sqref="H39:H61 H4 H180:H65535 D1:D65535">
    <cfRule type="cellIs" dxfId="123" priority="70" stopIfTrue="1" operator="equal">
      <formula>50</formula>
    </cfRule>
  </conditionalFormatting>
  <conditionalFormatting sqref="M33:W35">
    <cfRule type="cellIs" dxfId="122" priority="67" stopIfTrue="1" operator="equal">
      <formula>50</formula>
    </cfRule>
  </conditionalFormatting>
  <conditionalFormatting sqref="H62:H63">
    <cfRule type="cellIs" dxfId="121" priority="66" stopIfTrue="1" operator="equal">
      <formula>50</formula>
    </cfRule>
  </conditionalFormatting>
  <conditionalFormatting sqref="H38">
    <cfRule type="cellIs" dxfId="120" priority="62" stopIfTrue="1" operator="equal">
      <formula>50</formula>
    </cfRule>
  </conditionalFormatting>
  <conditionalFormatting sqref="H64">
    <cfRule type="cellIs" dxfId="119" priority="64" stopIfTrue="1" operator="equal">
      <formula>50</formula>
    </cfRule>
  </conditionalFormatting>
  <conditionalFormatting sqref="H119">
    <cfRule type="cellIs" dxfId="118" priority="61" stopIfTrue="1" operator="equal">
      <formula>50</formula>
    </cfRule>
  </conditionalFormatting>
  <conditionalFormatting sqref="H156">
    <cfRule type="cellIs" dxfId="117" priority="60" stopIfTrue="1" operator="equal">
      <formula>50</formula>
    </cfRule>
  </conditionalFormatting>
  <conditionalFormatting sqref="H154">
    <cfRule type="cellIs" dxfId="116" priority="59" stopIfTrue="1" operator="equal">
      <formula>50</formula>
    </cfRule>
  </conditionalFormatting>
  <conditionalFormatting sqref="H155">
    <cfRule type="cellIs" dxfId="115" priority="58" stopIfTrue="1" operator="equal">
      <formula>50</formula>
    </cfRule>
  </conditionalFormatting>
  <conditionalFormatting sqref="H161">
    <cfRule type="cellIs" dxfId="114" priority="57" stopIfTrue="1" operator="equal">
      <formula>50</formula>
    </cfRule>
  </conditionalFormatting>
  <conditionalFormatting sqref="H160">
    <cfRule type="cellIs" dxfId="113" priority="56" stopIfTrue="1" operator="equal">
      <formula>50</formula>
    </cfRule>
  </conditionalFormatting>
  <conditionalFormatting sqref="H159">
    <cfRule type="cellIs" dxfId="112" priority="55" stopIfTrue="1" operator="equal">
      <formula>50</formula>
    </cfRule>
  </conditionalFormatting>
  <conditionalFormatting sqref="H162 H166 H170 H174 H178">
    <cfRule type="cellIs" dxfId="111" priority="54" stopIfTrue="1" operator="equal">
      <formula>50</formula>
    </cfRule>
  </conditionalFormatting>
  <conditionalFormatting sqref="H10">
    <cfRule type="cellIs" dxfId="110" priority="53" stopIfTrue="1" operator="equal">
      <formula>50</formula>
    </cfRule>
  </conditionalFormatting>
  <conditionalFormatting sqref="H11">
    <cfRule type="cellIs" dxfId="109" priority="52" stopIfTrue="1" operator="equal">
      <formula>50</formula>
    </cfRule>
  </conditionalFormatting>
  <conditionalFormatting sqref="H21">
    <cfRule type="cellIs" dxfId="108" priority="51" stopIfTrue="1" operator="equal">
      <formula>50</formula>
    </cfRule>
  </conditionalFormatting>
  <conditionalFormatting sqref="H20">
    <cfRule type="cellIs" dxfId="107" priority="50" stopIfTrue="1" operator="equal">
      <formula>50</formula>
    </cfRule>
  </conditionalFormatting>
  <conditionalFormatting sqref="H23">
    <cfRule type="cellIs" dxfId="106" priority="49" stopIfTrue="1" operator="equal">
      <formula>50</formula>
    </cfRule>
  </conditionalFormatting>
  <conditionalFormatting sqref="H24">
    <cfRule type="cellIs" dxfId="105" priority="48" stopIfTrue="1" operator="equal">
      <formula>50</formula>
    </cfRule>
  </conditionalFormatting>
  <conditionalFormatting sqref="H32">
    <cfRule type="cellIs" dxfId="104" priority="47" stopIfTrue="1" operator="equal">
      <formula>50</formula>
    </cfRule>
  </conditionalFormatting>
  <conditionalFormatting sqref="H1:H3 H5:H179">
    <cfRule type="cellIs" dxfId="103" priority="71" stopIfTrue="1" operator="equal">
      <formula>50</formula>
    </cfRule>
  </conditionalFormatting>
  <conditionalFormatting sqref="D5:D22">
    <cfRule type="cellIs" dxfId="102" priority="46" stopIfTrue="1" operator="equal">
      <formula>50</formula>
    </cfRule>
  </conditionalFormatting>
  <conditionalFormatting sqref="E51:F61 E4:F4 E180:F65535">
    <cfRule type="cellIs" dxfId="101" priority="44" stopIfTrue="1" operator="equal">
      <formula>50</formula>
    </cfRule>
  </conditionalFormatting>
  <conditionalFormatting sqref="E62:F63">
    <cfRule type="cellIs" dxfId="100" priority="43" stopIfTrue="1" operator="equal">
      <formula>50</formula>
    </cfRule>
  </conditionalFormatting>
  <conditionalFormatting sqref="E156:F156">
    <cfRule type="cellIs" dxfId="99" priority="39" stopIfTrue="1" operator="equal">
      <formula>50</formula>
    </cfRule>
  </conditionalFormatting>
  <conditionalFormatting sqref="E64:F64">
    <cfRule type="cellIs" dxfId="98" priority="42" stopIfTrue="1" operator="equal">
      <formula>50</formula>
    </cfRule>
  </conditionalFormatting>
  <conditionalFormatting sqref="E119:F119">
    <cfRule type="cellIs" dxfId="97" priority="40" stopIfTrue="1" operator="equal">
      <formula>50</formula>
    </cfRule>
  </conditionalFormatting>
  <conditionalFormatting sqref="E154:F154">
    <cfRule type="cellIs" dxfId="96" priority="38" stopIfTrue="1" operator="equal">
      <formula>50</formula>
    </cfRule>
  </conditionalFormatting>
  <conditionalFormatting sqref="E155:F155">
    <cfRule type="cellIs" dxfId="95" priority="37" stopIfTrue="1" operator="equal">
      <formula>50</formula>
    </cfRule>
  </conditionalFormatting>
  <conditionalFormatting sqref="E161:F161">
    <cfRule type="cellIs" dxfId="94" priority="36" stopIfTrue="1" operator="equal">
      <formula>50</formula>
    </cfRule>
  </conditionalFormatting>
  <conditionalFormatting sqref="E160:F160">
    <cfRule type="cellIs" dxfId="93" priority="35" stopIfTrue="1" operator="equal">
      <formula>50</formula>
    </cfRule>
  </conditionalFormatting>
  <conditionalFormatting sqref="E159:F159">
    <cfRule type="cellIs" dxfId="92" priority="34" stopIfTrue="1" operator="equal">
      <formula>50</formula>
    </cfRule>
  </conditionalFormatting>
  <conditionalFormatting sqref="E162:F162 E166:F166 E170:F170 E174:F174 E178:F178">
    <cfRule type="cellIs" dxfId="91" priority="33" stopIfTrue="1" operator="equal">
      <formula>50</formula>
    </cfRule>
  </conditionalFormatting>
  <conditionalFormatting sqref="E10:F10">
    <cfRule type="cellIs" dxfId="90" priority="32" stopIfTrue="1" operator="equal">
      <formula>50</formula>
    </cfRule>
  </conditionalFormatting>
  <conditionalFormatting sqref="E11:F11">
    <cfRule type="cellIs" dxfId="89" priority="31" stopIfTrue="1" operator="equal">
      <formula>50</formula>
    </cfRule>
  </conditionalFormatting>
  <conditionalFormatting sqref="E21:F21">
    <cfRule type="cellIs" dxfId="88" priority="30" stopIfTrue="1" operator="equal">
      <formula>50</formula>
    </cfRule>
  </conditionalFormatting>
  <conditionalFormatting sqref="E20:F20">
    <cfRule type="cellIs" dxfId="87" priority="29" stopIfTrue="1" operator="equal">
      <formula>50</formula>
    </cfRule>
  </conditionalFormatting>
  <conditionalFormatting sqref="E5:F21 F5:F179">
    <cfRule type="cellIs" dxfId="86" priority="25" stopIfTrue="1" operator="equal">
      <formula>50</formula>
    </cfRule>
  </conditionalFormatting>
  <conditionalFormatting sqref="E2:F2">
    <cfRule type="cellIs" dxfId="85" priority="24" stopIfTrue="1" operator="equal">
      <formula>50</formula>
    </cfRule>
  </conditionalFormatting>
  <conditionalFormatting sqref="E120:F153 E12:F19 E163:F165 E157:F158 E65:F118 E167:F169 E171:F173 E175:F177 E179:F179 E1:F1 E6:F9 E3:F3">
    <cfRule type="cellIs" dxfId="84" priority="45" stopIfTrue="1" operator="equal">
      <formula>50</formula>
    </cfRule>
  </conditionalFormatting>
  <conditionalFormatting sqref="E22:F50 F6:F179 E50:E179">
    <cfRule type="cellIs" dxfId="83" priority="23" stopIfTrue="1" operator="equal">
      <formula>50</formula>
    </cfRule>
  </conditionalFormatting>
  <conditionalFormatting sqref="E22:F50 F6:F179 E50:E179">
    <cfRule type="cellIs" dxfId="82" priority="22" stopIfTrue="1" operator="equal">
      <formula>50</formula>
    </cfRule>
  </conditionalFormatting>
  <conditionalFormatting sqref="G39:G61 G4 G180:G65535">
    <cfRule type="cellIs" dxfId="81" priority="20" stopIfTrue="1" operator="equal">
      <formula>50</formula>
    </cfRule>
  </conditionalFormatting>
  <conditionalFormatting sqref="G62:G63">
    <cfRule type="cellIs" dxfId="80" priority="19" stopIfTrue="1" operator="equal">
      <formula>50</formula>
    </cfRule>
  </conditionalFormatting>
  <conditionalFormatting sqref="G38">
    <cfRule type="cellIs" dxfId="79" priority="17" stopIfTrue="1" operator="equal">
      <formula>50</formula>
    </cfRule>
  </conditionalFormatting>
  <conditionalFormatting sqref="G64">
    <cfRule type="cellIs" dxfId="78" priority="18" stopIfTrue="1" operator="equal">
      <formula>50</formula>
    </cfRule>
  </conditionalFormatting>
  <conditionalFormatting sqref="G119">
    <cfRule type="cellIs" dxfId="77" priority="16" stopIfTrue="1" operator="equal">
      <formula>50</formula>
    </cfRule>
  </conditionalFormatting>
  <conditionalFormatting sqref="G156">
    <cfRule type="cellIs" dxfId="76" priority="15" stopIfTrue="1" operator="equal">
      <formula>50</formula>
    </cfRule>
  </conditionalFormatting>
  <conditionalFormatting sqref="G154">
    <cfRule type="cellIs" dxfId="75" priority="14" stopIfTrue="1" operator="equal">
      <formula>50</formula>
    </cfRule>
  </conditionalFormatting>
  <conditionalFormatting sqref="G155">
    <cfRule type="cellIs" dxfId="74" priority="13" stopIfTrue="1" operator="equal">
      <formula>50</formula>
    </cfRule>
  </conditionalFormatting>
  <conditionalFormatting sqref="G161">
    <cfRule type="cellIs" dxfId="73" priority="12" stopIfTrue="1" operator="equal">
      <formula>50</formula>
    </cfRule>
  </conditionalFormatting>
  <conditionalFormatting sqref="G160">
    <cfRule type="cellIs" dxfId="72" priority="11" stopIfTrue="1" operator="equal">
      <formula>50</formula>
    </cfRule>
  </conditionalFormatting>
  <conditionalFormatting sqref="G159">
    <cfRule type="cellIs" dxfId="71" priority="10" stopIfTrue="1" operator="equal">
      <formula>50</formula>
    </cfRule>
  </conditionalFormatting>
  <conditionalFormatting sqref="G162 G166 G170 G174 G178">
    <cfRule type="cellIs" dxfId="70" priority="9" stopIfTrue="1" operator="equal">
      <formula>50</formula>
    </cfRule>
  </conditionalFormatting>
  <conditionalFormatting sqref="G10">
    <cfRule type="cellIs" dxfId="69" priority="8" stopIfTrue="1" operator="equal">
      <formula>50</formula>
    </cfRule>
  </conditionalFormatting>
  <conditionalFormatting sqref="G11">
    <cfRule type="cellIs" dxfId="68" priority="7" stopIfTrue="1" operator="equal">
      <formula>50</formula>
    </cfRule>
  </conditionalFormatting>
  <conditionalFormatting sqref="G21">
    <cfRule type="cellIs" dxfId="67" priority="6" stopIfTrue="1" operator="equal">
      <formula>50</formula>
    </cfRule>
  </conditionalFormatting>
  <conditionalFormatting sqref="G20">
    <cfRule type="cellIs" dxfId="66" priority="5" stopIfTrue="1" operator="equal">
      <formula>50</formula>
    </cfRule>
  </conditionalFormatting>
  <conditionalFormatting sqref="G23">
    <cfRule type="cellIs" dxfId="65" priority="4" stopIfTrue="1" operator="equal">
      <formula>50</formula>
    </cfRule>
  </conditionalFormatting>
  <conditionalFormatting sqref="G24">
    <cfRule type="cellIs" dxfId="64" priority="3" stopIfTrue="1" operator="equal">
      <formula>50</formula>
    </cfRule>
  </conditionalFormatting>
  <conditionalFormatting sqref="G32">
    <cfRule type="cellIs" dxfId="63" priority="2" stopIfTrue="1" operator="equal">
      <formula>50</formula>
    </cfRule>
  </conditionalFormatting>
  <conditionalFormatting sqref="G33:G37 G25:G31 G120:G153 G22 G12:G19 G163:G165 G157:G158 G65:G118 G167:G169 G171:G173 G175:G177 G179 G1:G3 G6:G9">
    <cfRule type="cellIs" dxfId="62" priority="21" stopIfTrue="1" operator="equal">
      <formula>50</formula>
    </cfRule>
  </conditionalFormatting>
  <conditionalFormatting sqref="G5:G179">
    <cfRule type="cellIs" dxfId="61" priority="1" stopIfTrue="1" operator="equal">
      <formula>50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5"/>
  <sheetViews>
    <sheetView topLeftCell="A8" zoomScale="125" zoomScaleNormal="125" zoomScalePageLayoutView="125" workbookViewId="0">
      <selection activeCell="B32" sqref="B32"/>
    </sheetView>
  </sheetViews>
  <sheetFormatPr baseColWidth="10" defaultColWidth="9.1640625" defaultRowHeight="15" x14ac:dyDescent="0"/>
  <cols>
    <col min="1" max="1" width="9.1640625" style="45"/>
    <col min="2" max="2" width="18.1640625" style="44" customWidth="1"/>
    <col min="3" max="3" width="19" style="44" customWidth="1"/>
    <col min="4" max="4" width="7.6640625" style="44" customWidth="1"/>
    <col min="5" max="5" width="6.83203125" style="44" customWidth="1"/>
    <col min="6" max="6" width="20.83203125" style="44" customWidth="1"/>
    <col min="7" max="8" width="6.5" style="44" customWidth="1"/>
    <col min="9" max="9" width="16.5" style="44" customWidth="1"/>
    <col min="10" max="10" width="17.1640625" style="44" customWidth="1"/>
    <col min="11" max="11" width="7.83203125" style="44" customWidth="1"/>
    <col min="12" max="12" width="7" style="44" customWidth="1"/>
    <col min="13" max="13" width="4.1640625" style="44" customWidth="1"/>
    <col min="14" max="14" width="6.5" style="44" customWidth="1"/>
    <col min="15" max="15" width="16.5" style="44" customWidth="1"/>
    <col min="16" max="16" width="17.1640625" style="44" customWidth="1"/>
    <col min="17" max="17" width="7.83203125" style="44" customWidth="1"/>
    <col min="18" max="18" width="7" style="44" customWidth="1"/>
    <col min="19" max="19" width="4.1640625" style="44" customWidth="1"/>
    <col min="20" max="20" width="6.5" style="78" customWidth="1"/>
    <col min="21" max="22" width="18.5" style="44" customWidth="1"/>
    <col min="23" max="23" width="8.5" style="44" customWidth="1"/>
    <col min="24" max="24" width="18.5" style="44" customWidth="1"/>
    <col min="25" max="25" width="7.83203125" style="44" customWidth="1"/>
    <col min="26" max="26" width="17.1640625" style="45" customWidth="1"/>
    <col min="27" max="27" width="17.33203125" style="45" customWidth="1"/>
    <col min="28" max="28" width="11.6640625" style="44" customWidth="1"/>
    <col min="29" max="16384" width="9.1640625" style="45"/>
  </cols>
  <sheetData>
    <row r="1" spans="1:28" ht="18">
      <c r="B1" s="510" t="s">
        <v>96</v>
      </c>
      <c r="C1" s="510"/>
    </row>
    <row r="2" spans="1:28">
      <c r="B2" s="6"/>
      <c r="C2" s="6"/>
      <c r="N2" s="511" t="s">
        <v>147</v>
      </c>
      <c r="O2" s="511"/>
      <c r="P2" s="511"/>
      <c r="Q2" s="511"/>
      <c r="R2" s="511"/>
    </row>
    <row r="3" spans="1:28" ht="16" thickBot="1">
      <c r="A3" s="511" t="s">
        <v>142</v>
      </c>
      <c r="B3" s="511"/>
      <c r="C3" s="511"/>
      <c r="D3" s="511"/>
      <c r="E3" s="511"/>
      <c r="F3" s="511"/>
      <c r="H3" s="511" t="s">
        <v>169</v>
      </c>
      <c r="I3" s="511"/>
      <c r="J3" s="511"/>
      <c r="K3" s="511"/>
      <c r="L3" s="511"/>
      <c r="N3" s="512" t="s">
        <v>175</v>
      </c>
      <c r="O3" s="512"/>
      <c r="P3" s="512"/>
      <c r="Q3" s="512"/>
      <c r="R3" s="512"/>
      <c r="U3" s="512" t="s">
        <v>148</v>
      </c>
      <c r="V3" s="512"/>
      <c r="W3" s="512"/>
      <c r="Y3" s="511" t="s">
        <v>150</v>
      </c>
      <c r="Z3" s="511"/>
      <c r="AA3" s="511"/>
      <c r="AB3" s="511"/>
    </row>
    <row r="4" spans="1:28" ht="17" thickTop="1" thickBot="1">
      <c r="A4" s="74" t="s">
        <v>9</v>
      </c>
      <c r="B4" s="75" t="s">
        <v>97</v>
      </c>
      <c r="C4" s="75" t="s">
        <v>98</v>
      </c>
      <c r="D4" s="75" t="s">
        <v>0</v>
      </c>
      <c r="E4" s="76" t="s">
        <v>1</v>
      </c>
      <c r="F4" s="79" t="s">
        <v>99</v>
      </c>
      <c r="H4" s="83" t="s">
        <v>9</v>
      </c>
      <c r="I4" s="75" t="s">
        <v>97</v>
      </c>
      <c r="J4" s="75" t="s">
        <v>98</v>
      </c>
      <c r="K4" s="84" t="s">
        <v>28</v>
      </c>
      <c r="L4" s="85" t="s">
        <v>29</v>
      </c>
      <c r="N4" s="83" t="s">
        <v>9</v>
      </c>
      <c r="O4" s="75" t="s">
        <v>97</v>
      </c>
      <c r="P4" s="75" t="s">
        <v>98</v>
      </c>
      <c r="Q4" s="84" t="s">
        <v>28</v>
      </c>
      <c r="R4" s="85" t="s">
        <v>29</v>
      </c>
      <c r="T4" s="75" t="s">
        <v>151</v>
      </c>
      <c r="U4" s="75" t="s">
        <v>97</v>
      </c>
      <c r="V4" s="75" t="s">
        <v>98</v>
      </c>
      <c r="W4" s="84" t="s">
        <v>28</v>
      </c>
      <c r="Y4" s="75" t="s">
        <v>9</v>
      </c>
      <c r="Z4" s="75" t="s">
        <v>97</v>
      </c>
      <c r="AA4" s="75" t="s">
        <v>98</v>
      </c>
      <c r="AB4" s="46" t="s">
        <v>15</v>
      </c>
    </row>
    <row r="5" spans="1:28">
      <c r="A5" s="49">
        <v>1</v>
      </c>
      <c r="B5" s="72" t="s">
        <v>6</v>
      </c>
      <c r="C5" s="72" t="s">
        <v>3</v>
      </c>
      <c r="D5" s="54">
        <v>57</v>
      </c>
      <c r="E5" s="53">
        <v>95</v>
      </c>
      <c r="F5" s="80" t="s">
        <v>100</v>
      </c>
      <c r="H5" s="86">
        <v>1</v>
      </c>
      <c r="I5" s="72" t="s">
        <v>6</v>
      </c>
      <c r="J5" s="72" t="s">
        <v>3</v>
      </c>
      <c r="K5" s="87">
        <v>16</v>
      </c>
      <c r="L5" s="88">
        <v>31</v>
      </c>
      <c r="N5" s="89">
        <v>1</v>
      </c>
      <c r="O5" s="90" t="s">
        <v>36</v>
      </c>
      <c r="P5" s="90" t="s">
        <v>34</v>
      </c>
      <c r="Q5" s="91">
        <f t="shared" ref="Q5:Q20" si="0">INDEX(D:D,MATCH($O5,$B:$B,0))/2+INDEX(K:K,MATCH($O5,$I:$I,0))</f>
        <v>49</v>
      </c>
      <c r="R5" s="91">
        <f t="shared" ref="R5:R20" si="1">INDEX(E:E,MATCH($O5,$B:$B,0))/2+INDEX(L:L,MATCH($O5,$I:$I,0))</f>
        <v>104.5</v>
      </c>
      <c r="T5" s="73">
        <f>N5</f>
        <v>1</v>
      </c>
      <c r="U5" s="73" t="str">
        <f>O5</f>
        <v>Andrew Hutchinson</v>
      </c>
      <c r="V5" s="73" t="str">
        <f>P5</f>
        <v>Connor Reinman</v>
      </c>
      <c r="W5" s="73">
        <v>4</v>
      </c>
      <c r="Y5" s="73">
        <v>1</v>
      </c>
      <c r="Z5" s="72" t="str">
        <f>U15</f>
        <v>Justin Slater</v>
      </c>
      <c r="AA5" s="72" t="str">
        <f>V15</f>
        <v>Fred Slater</v>
      </c>
      <c r="AB5" s="73">
        <v>50</v>
      </c>
    </row>
    <row r="6" spans="1:28">
      <c r="A6" s="49">
        <f>A5+1</f>
        <v>2</v>
      </c>
      <c r="B6" s="72" t="s">
        <v>36</v>
      </c>
      <c r="C6" s="72" t="s">
        <v>34</v>
      </c>
      <c r="D6" s="54">
        <v>56</v>
      </c>
      <c r="E6" s="53">
        <v>113</v>
      </c>
      <c r="F6" s="80" t="s">
        <v>101</v>
      </c>
      <c r="G6" s="93"/>
      <c r="H6" s="48">
        <f>H5+1</f>
        <v>2</v>
      </c>
      <c r="I6" s="72" t="s">
        <v>35</v>
      </c>
      <c r="J6" s="72" t="s">
        <v>43</v>
      </c>
      <c r="K6" s="54">
        <v>15</v>
      </c>
      <c r="L6" s="53">
        <v>32</v>
      </c>
      <c r="N6" s="92">
        <f>N5+1</f>
        <v>2</v>
      </c>
      <c r="O6" s="90" t="s">
        <v>6</v>
      </c>
      <c r="P6" s="90" t="s">
        <v>3</v>
      </c>
      <c r="Q6" s="91">
        <f t="shared" si="0"/>
        <v>44.5</v>
      </c>
      <c r="R6" s="91">
        <f t="shared" si="1"/>
        <v>78.5</v>
      </c>
      <c r="T6" s="73">
        <v>4</v>
      </c>
      <c r="U6" s="73" t="str">
        <f>O9</f>
        <v>Ron Langill</v>
      </c>
      <c r="V6" s="73" t="str">
        <f>P9</f>
        <v>Peter Carter</v>
      </c>
      <c r="W6" s="73">
        <v>8</v>
      </c>
      <c r="Y6" s="73">
        <f>Y5+1</f>
        <v>2</v>
      </c>
      <c r="Z6" s="72" t="str">
        <f>U16</f>
        <v>Ron Langill</v>
      </c>
      <c r="AA6" s="72" t="str">
        <f>V16</f>
        <v>Peter Carter</v>
      </c>
      <c r="AB6" s="73">
        <v>47</v>
      </c>
    </row>
    <row r="7" spans="1:28" ht="16" thickBot="1">
      <c r="A7" s="49">
        <f t="shared" ref="A7:A35" si="2">A6+1</f>
        <v>3</v>
      </c>
      <c r="B7" s="72" t="s">
        <v>102</v>
      </c>
      <c r="C7" s="72" t="s">
        <v>103</v>
      </c>
      <c r="D7" s="54">
        <v>53</v>
      </c>
      <c r="E7" s="53">
        <v>64</v>
      </c>
      <c r="F7" s="80" t="s">
        <v>104</v>
      </c>
      <c r="G7" s="93"/>
      <c r="H7" s="48">
        <f t="shared" ref="H7:H8" si="3">H6+1</f>
        <v>3</v>
      </c>
      <c r="I7" s="72" t="s">
        <v>39</v>
      </c>
      <c r="J7" s="72" t="s">
        <v>40</v>
      </c>
      <c r="K7" s="54">
        <v>11</v>
      </c>
      <c r="L7" s="53">
        <v>30</v>
      </c>
      <c r="N7" s="92">
        <f t="shared" ref="N7:N20" si="4">N6+1</f>
        <v>3</v>
      </c>
      <c r="O7" s="90" t="s">
        <v>2</v>
      </c>
      <c r="P7" s="90" t="s">
        <v>5</v>
      </c>
      <c r="Q7" s="91">
        <f t="shared" si="0"/>
        <v>43</v>
      </c>
      <c r="R7" s="91">
        <f t="shared" si="1"/>
        <v>98</v>
      </c>
      <c r="Y7" s="73">
        <f t="shared" ref="Y7:Y35" si="5">Y6+1</f>
        <v>3</v>
      </c>
      <c r="Z7" s="72" t="str">
        <f>U5</f>
        <v>Andrew Hutchinson</v>
      </c>
      <c r="AA7" s="72" t="str">
        <f>V5</f>
        <v>Connor Reinman</v>
      </c>
      <c r="AB7" s="73">
        <v>45</v>
      </c>
    </row>
    <row r="8" spans="1:28">
      <c r="A8" s="49">
        <f t="shared" si="2"/>
        <v>4</v>
      </c>
      <c r="B8" s="72" t="s">
        <v>105</v>
      </c>
      <c r="C8" s="72" t="s">
        <v>52</v>
      </c>
      <c r="D8" s="54">
        <v>52</v>
      </c>
      <c r="E8" s="53">
        <v>99</v>
      </c>
      <c r="F8" s="80" t="s">
        <v>106</v>
      </c>
      <c r="G8" s="93"/>
      <c r="H8" s="48">
        <f t="shared" si="3"/>
        <v>4</v>
      </c>
      <c r="I8" s="72" t="s">
        <v>21</v>
      </c>
      <c r="J8" s="72" t="s">
        <v>7</v>
      </c>
      <c r="K8" s="54">
        <v>6</v>
      </c>
      <c r="L8" s="53">
        <v>26</v>
      </c>
      <c r="N8" s="48">
        <f t="shared" si="4"/>
        <v>4</v>
      </c>
      <c r="O8" s="72" t="s">
        <v>4</v>
      </c>
      <c r="P8" s="72" t="s">
        <v>8</v>
      </c>
      <c r="Q8" s="54">
        <f t="shared" si="0"/>
        <v>39</v>
      </c>
      <c r="R8" s="54">
        <f t="shared" si="1"/>
        <v>65</v>
      </c>
      <c r="T8" s="75" t="s">
        <v>151</v>
      </c>
      <c r="U8" s="75" t="s">
        <v>97</v>
      </c>
      <c r="V8" s="75" t="s">
        <v>98</v>
      </c>
      <c r="W8" s="84" t="s">
        <v>28</v>
      </c>
      <c r="Y8" s="73">
        <f t="shared" si="5"/>
        <v>4</v>
      </c>
      <c r="Z8" s="72" t="str">
        <f>U10</f>
        <v>Ray Beierling</v>
      </c>
      <c r="AA8" s="72" t="str">
        <f>V10</f>
        <v>Jason Beierling</v>
      </c>
      <c r="AB8" s="73">
        <v>43</v>
      </c>
    </row>
    <row r="9" spans="1:28">
      <c r="A9" s="49">
        <v>6</v>
      </c>
      <c r="B9" s="72" t="s">
        <v>4</v>
      </c>
      <c r="C9" s="72" t="s">
        <v>8</v>
      </c>
      <c r="D9" s="54">
        <v>48</v>
      </c>
      <c r="E9" s="53">
        <v>72</v>
      </c>
      <c r="F9" s="82" t="s">
        <v>107</v>
      </c>
      <c r="G9" s="93"/>
      <c r="N9" s="92">
        <f t="shared" si="4"/>
        <v>5</v>
      </c>
      <c r="O9" s="90" t="s">
        <v>42</v>
      </c>
      <c r="P9" s="90" t="s">
        <v>30</v>
      </c>
      <c r="Q9" s="91">
        <f t="shared" si="0"/>
        <v>38.5</v>
      </c>
      <c r="R9" s="91">
        <f t="shared" si="1"/>
        <v>84</v>
      </c>
      <c r="T9" s="73">
        <f>N6</f>
        <v>2</v>
      </c>
      <c r="U9" s="73" t="str">
        <f>O6</f>
        <v>Justin Slater</v>
      </c>
      <c r="V9" s="73" t="str">
        <f t="shared" ref="V9:V10" si="6">P6</f>
        <v>Fred Slater</v>
      </c>
      <c r="W9" s="73">
        <v>8</v>
      </c>
      <c r="Y9" s="73">
        <f t="shared" si="5"/>
        <v>5</v>
      </c>
      <c r="Z9" s="72" t="str">
        <f>O8</f>
        <v>Nathan Walsh</v>
      </c>
      <c r="AA9" s="72" t="str">
        <f>P8</f>
        <v>Clare Kuepfer</v>
      </c>
      <c r="AB9" s="73">
        <v>41</v>
      </c>
    </row>
    <row r="10" spans="1:28" ht="16" thickBot="1">
      <c r="A10" s="49">
        <v>5</v>
      </c>
      <c r="B10" s="72" t="s">
        <v>2</v>
      </c>
      <c r="C10" s="72" t="s">
        <v>5</v>
      </c>
      <c r="D10" s="54">
        <v>48</v>
      </c>
      <c r="E10" s="53">
        <v>100</v>
      </c>
      <c r="F10" s="82" t="s">
        <v>108</v>
      </c>
      <c r="G10" s="93"/>
      <c r="H10" s="511" t="s">
        <v>170</v>
      </c>
      <c r="I10" s="511"/>
      <c r="J10" s="511"/>
      <c r="K10" s="511"/>
      <c r="L10" s="511"/>
      <c r="N10" s="48">
        <f t="shared" si="4"/>
        <v>6</v>
      </c>
      <c r="O10" s="72" t="s">
        <v>102</v>
      </c>
      <c r="P10" s="72" t="s">
        <v>103</v>
      </c>
      <c r="Q10" s="54">
        <f t="shared" si="0"/>
        <v>36.5</v>
      </c>
      <c r="R10" s="54">
        <f t="shared" si="1"/>
        <v>55</v>
      </c>
      <c r="T10" s="73">
        <f>N7</f>
        <v>3</v>
      </c>
      <c r="U10" s="73" t="str">
        <f>O7</f>
        <v>Ray Beierling</v>
      </c>
      <c r="V10" s="73" t="str">
        <f t="shared" si="6"/>
        <v>Jason Beierling</v>
      </c>
      <c r="W10" s="73">
        <v>0</v>
      </c>
      <c r="Y10" s="73">
        <f t="shared" si="5"/>
        <v>6</v>
      </c>
      <c r="Z10" s="72" t="str">
        <f t="shared" ref="Z10:Z20" si="7">O10</f>
        <v>Brian Armstrong</v>
      </c>
      <c r="AA10" s="72" t="str">
        <f t="shared" ref="AA10:AA20" si="8">P10</f>
        <v>Josh Carrafiello</v>
      </c>
      <c r="AB10" s="73">
        <v>40</v>
      </c>
    </row>
    <row r="11" spans="1:28" ht="16" thickBot="1">
      <c r="A11" s="49">
        <v>8</v>
      </c>
      <c r="B11" s="72" t="s">
        <v>23</v>
      </c>
      <c r="C11" s="72" t="s">
        <v>109</v>
      </c>
      <c r="D11" s="54">
        <v>46</v>
      </c>
      <c r="E11" s="53">
        <v>99</v>
      </c>
      <c r="F11" s="82" t="s">
        <v>110</v>
      </c>
      <c r="G11" s="93"/>
      <c r="H11" s="83" t="s">
        <v>9</v>
      </c>
      <c r="I11" s="75" t="s">
        <v>97</v>
      </c>
      <c r="J11" s="75" t="s">
        <v>98</v>
      </c>
      <c r="K11" s="84" t="s">
        <v>28</v>
      </c>
      <c r="L11" s="85" t="s">
        <v>29</v>
      </c>
      <c r="N11" s="48">
        <f t="shared" si="4"/>
        <v>7</v>
      </c>
      <c r="O11" s="72" t="s">
        <v>39</v>
      </c>
      <c r="P11" s="72" t="s">
        <v>40</v>
      </c>
      <c r="Q11" s="54">
        <f t="shared" si="0"/>
        <v>34</v>
      </c>
      <c r="R11" s="54">
        <f t="shared" si="1"/>
        <v>81.5</v>
      </c>
      <c r="Y11" s="73">
        <f t="shared" si="5"/>
        <v>7</v>
      </c>
      <c r="Z11" s="72" t="str">
        <f t="shared" si="7"/>
        <v>Raymond Kappes</v>
      </c>
      <c r="AA11" s="72" t="str">
        <f t="shared" si="8"/>
        <v>Kevin Bechtel</v>
      </c>
      <c r="AB11" s="73">
        <v>39</v>
      </c>
    </row>
    <row r="12" spans="1:28">
      <c r="A12" s="49">
        <v>9</v>
      </c>
      <c r="B12" s="72" t="s">
        <v>21</v>
      </c>
      <c r="C12" s="72" t="s">
        <v>7</v>
      </c>
      <c r="D12" s="54">
        <v>46</v>
      </c>
      <c r="E12" s="53">
        <v>82</v>
      </c>
      <c r="F12" s="82" t="s">
        <v>111</v>
      </c>
      <c r="G12" s="93"/>
      <c r="H12" s="86">
        <v>1</v>
      </c>
      <c r="I12" s="72" t="s">
        <v>36</v>
      </c>
      <c r="J12" s="72" t="s">
        <v>34</v>
      </c>
      <c r="K12" s="87">
        <v>21</v>
      </c>
      <c r="L12" s="88">
        <v>48</v>
      </c>
      <c r="N12" s="48">
        <f t="shared" si="4"/>
        <v>8</v>
      </c>
      <c r="O12" s="72" t="s">
        <v>23</v>
      </c>
      <c r="P12" s="72" t="s">
        <v>109</v>
      </c>
      <c r="Q12" s="54">
        <f t="shared" si="0"/>
        <v>34</v>
      </c>
      <c r="R12" s="54">
        <f t="shared" si="1"/>
        <v>78.5</v>
      </c>
      <c r="Y12" s="73">
        <f t="shared" si="5"/>
        <v>8</v>
      </c>
      <c r="Z12" s="72" t="str">
        <f t="shared" si="7"/>
        <v>Rex Johnston</v>
      </c>
      <c r="AA12" s="72" t="str">
        <f t="shared" si="8"/>
        <v>Tom Johnston</v>
      </c>
      <c r="AB12" s="73">
        <v>38</v>
      </c>
    </row>
    <row r="13" spans="1:28" ht="16" thickBot="1">
      <c r="A13" s="49">
        <v>7</v>
      </c>
      <c r="B13" s="72" t="s">
        <v>39</v>
      </c>
      <c r="C13" s="72" t="s">
        <v>40</v>
      </c>
      <c r="D13" s="54">
        <v>46</v>
      </c>
      <c r="E13" s="53">
        <v>103</v>
      </c>
      <c r="F13" s="82" t="s">
        <v>112</v>
      </c>
      <c r="G13" s="93"/>
      <c r="H13" s="48">
        <f>H12+1</f>
        <v>2</v>
      </c>
      <c r="I13" s="72" t="s">
        <v>38</v>
      </c>
      <c r="J13" s="72" t="s">
        <v>37</v>
      </c>
      <c r="K13" s="54">
        <v>11</v>
      </c>
      <c r="L13" s="53">
        <v>30</v>
      </c>
      <c r="N13" s="48">
        <f t="shared" si="4"/>
        <v>9</v>
      </c>
      <c r="O13" s="72" t="s">
        <v>105</v>
      </c>
      <c r="P13" s="72" t="s">
        <v>52</v>
      </c>
      <c r="Q13" s="54">
        <f t="shared" si="0"/>
        <v>33</v>
      </c>
      <c r="R13" s="54">
        <f t="shared" si="1"/>
        <v>75.5</v>
      </c>
      <c r="U13" s="512" t="s">
        <v>149</v>
      </c>
      <c r="V13" s="512"/>
      <c r="W13" s="512"/>
      <c r="Y13" s="73">
        <f t="shared" si="5"/>
        <v>9</v>
      </c>
      <c r="Z13" s="72" t="str">
        <f t="shared" si="7"/>
        <v>Simon Dowrick</v>
      </c>
      <c r="AA13" s="72" t="str">
        <f t="shared" si="8"/>
        <v>Mark Boot</v>
      </c>
      <c r="AB13" s="73">
        <v>37</v>
      </c>
    </row>
    <row r="14" spans="1:28">
      <c r="A14" s="49">
        <v>10</v>
      </c>
      <c r="B14" s="72" t="s">
        <v>32</v>
      </c>
      <c r="C14" s="72" t="s">
        <v>33</v>
      </c>
      <c r="D14" s="54">
        <v>45</v>
      </c>
      <c r="E14" s="53">
        <v>70</v>
      </c>
      <c r="F14" s="80" t="s">
        <v>113</v>
      </c>
      <c r="G14" s="93"/>
      <c r="H14" s="48">
        <f t="shared" ref="H14:H15" si="9">H13+1</f>
        <v>3</v>
      </c>
      <c r="I14" s="72" t="s">
        <v>23</v>
      </c>
      <c r="J14" s="72" t="s">
        <v>109</v>
      </c>
      <c r="K14" s="54">
        <v>11</v>
      </c>
      <c r="L14" s="53">
        <v>29</v>
      </c>
      <c r="N14" s="48">
        <f t="shared" si="4"/>
        <v>10</v>
      </c>
      <c r="O14" s="72" t="s">
        <v>54</v>
      </c>
      <c r="P14" s="1" t="s">
        <v>46</v>
      </c>
      <c r="Q14" s="54">
        <f t="shared" si="0"/>
        <v>30</v>
      </c>
      <c r="R14" s="54">
        <f t="shared" si="1"/>
        <v>75.5</v>
      </c>
      <c r="T14" s="75" t="s">
        <v>151</v>
      </c>
      <c r="U14" s="75" t="s">
        <v>97</v>
      </c>
      <c r="V14" s="75" t="s">
        <v>98</v>
      </c>
      <c r="W14" s="84" t="s">
        <v>28</v>
      </c>
      <c r="Y14" s="73">
        <f t="shared" si="5"/>
        <v>10</v>
      </c>
      <c r="Z14" s="72" t="str">
        <f t="shared" si="7"/>
        <v>Gina Schick</v>
      </c>
      <c r="AA14" s="72" t="str">
        <f t="shared" si="8"/>
        <v>Darren Carr</v>
      </c>
      <c r="AB14" s="73">
        <v>36</v>
      </c>
    </row>
    <row r="15" spans="1:28">
      <c r="A15" s="49">
        <f t="shared" si="2"/>
        <v>11</v>
      </c>
      <c r="B15" s="72" t="s">
        <v>45</v>
      </c>
      <c r="C15" s="72" t="s">
        <v>44</v>
      </c>
      <c r="D15" s="54">
        <v>44</v>
      </c>
      <c r="E15" s="53">
        <v>85</v>
      </c>
      <c r="F15" s="80" t="s">
        <v>114</v>
      </c>
      <c r="G15" s="93"/>
      <c r="H15" s="48">
        <f t="shared" si="9"/>
        <v>4</v>
      </c>
      <c r="I15" s="72" t="s">
        <v>32</v>
      </c>
      <c r="J15" s="72" t="s">
        <v>33</v>
      </c>
      <c r="K15" s="54">
        <v>5</v>
      </c>
      <c r="L15" s="53">
        <v>23</v>
      </c>
      <c r="N15" s="48">
        <f t="shared" si="4"/>
        <v>11</v>
      </c>
      <c r="O15" s="72" t="s">
        <v>45</v>
      </c>
      <c r="P15" s="72" t="s">
        <v>44</v>
      </c>
      <c r="Q15" s="54">
        <f t="shared" si="0"/>
        <v>30</v>
      </c>
      <c r="R15" s="54">
        <f t="shared" si="1"/>
        <v>72.5</v>
      </c>
      <c r="T15" s="73">
        <f>T9</f>
        <v>2</v>
      </c>
      <c r="U15" s="73" t="str">
        <f>U9</f>
        <v>Justin Slater</v>
      </c>
      <c r="V15" s="73" t="str">
        <f t="shared" ref="V15" si="10">V9</f>
        <v>Fred Slater</v>
      </c>
      <c r="W15" s="73">
        <v>8</v>
      </c>
      <c r="Y15" s="73">
        <f t="shared" si="5"/>
        <v>11</v>
      </c>
      <c r="Z15" s="72" t="str">
        <f t="shared" si="7"/>
        <v>Steffan Hiller-Ranney</v>
      </c>
      <c r="AA15" s="72" t="str">
        <f t="shared" si="8"/>
        <v>Kevin Ranney</v>
      </c>
      <c r="AB15" s="73">
        <v>35</v>
      </c>
    </row>
    <row r="16" spans="1:28">
      <c r="A16" s="49">
        <f t="shared" si="2"/>
        <v>12</v>
      </c>
      <c r="B16" s="72" t="s">
        <v>42</v>
      </c>
      <c r="C16" s="72" t="s">
        <v>30</v>
      </c>
      <c r="D16" s="54">
        <v>41</v>
      </c>
      <c r="E16" s="53">
        <v>100</v>
      </c>
      <c r="F16" s="80" t="s">
        <v>115</v>
      </c>
      <c r="G16" s="93"/>
      <c r="N16" s="48">
        <f t="shared" si="4"/>
        <v>12</v>
      </c>
      <c r="O16" s="72" t="s">
        <v>35</v>
      </c>
      <c r="P16" s="72" t="s">
        <v>43</v>
      </c>
      <c r="Q16" s="54">
        <f t="shared" si="0"/>
        <v>30</v>
      </c>
      <c r="R16" s="54">
        <f t="shared" si="1"/>
        <v>71.5</v>
      </c>
      <c r="T16" s="73">
        <v>4</v>
      </c>
      <c r="U16" s="73" t="str">
        <f>U6</f>
        <v>Ron Langill</v>
      </c>
      <c r="V16" s="73" t="str">
        <f t="shared" ref="V16" si="11">V6</f>
        <v>Peter Carter</v>
      </c>
      <c r="W16" s="73">
        <v>0</v>
      </c>
      <c r="Y16" s="73">
        <f t="shared" si="5"/>
        <v>12</v>
      </c>
      <c r="Z16" s="72" t="str">
        <f t="shared" si="7"/>
        <v>Jeremy Tracey</v>
      </c>
      <c r="AA16" s="72" t="str">
        <f t="shared" si="8"/>
        <v>Janet Waite</v>
      </c>
      <c r="AB16" s="73">
        <v>34</v>
      </c>
    </row>
    <row r="17" spans="1:28" ht="16" thickBot="1">
      <c r="A17" s="49">
        <f t="shared" si="2"/>
        <v>13</v>
      </c>
      <c r="B17" s="72" t="s">
        <v>41</v>
      </c>
      <c r="C17" s="72" t="s">
        <v>49</v>
      </c>
      <c r="D17" s="54">
        <v>39</v>
      </c>
      <c r="E17" s="53">
        <v>60</v>
      </c>
      <c r="F17" s="80" t="s">
        <v>116</v>
      </c>
      <c r="G17" s="93"/>
      <c r="H17" s="511" t="s">
        <v>171</v>
      </c>
      <c r="I17" s="511"/>
      <c r="J17" s="511"/>
      <c r="K17" s="511"/>
      <c r="L17" s="511"/>
      <c r="N17" s="48">
        <f t="shared" si="4"/>
        <v>13</v>
      </c>
      <c r="O17" s="72" t="s">
        <v>38</v>
      </c>
      <c r="P17" s="72" t="s">
        <v>37</v>
      </c>
      <c r="Q17" s="54">
        <f t="shared" si="0"/>
        <v>29</v>
      </c>
      <c r="R17" s="54">
        <f t="shared" si="1"/>
        <v>70.5</v>
      </c>
      <c r="Y17" s="73">
        <f t="shared" si="5"/>
        <v>13</v>
      </c>
      <c r="Z17" s="72" t="str">
        <f t="shared" si="7"/>
        <v>Reid Tracey</v>
      </c>
      <c r="AA17" s="72" t="str">
        <f t="shared" si="8"/>
        <v>Nolan Tracey</v>
      </c>
      <c r="AB17" s="73">
        <v>33</v>
      </c>
    </row>
    <row r="18" spans="1:28" ht="16" thickBot="1">
      <c r="A18" s="49">
        <f t="shared" si="2"/>
        <v>14</v>
      </c>
      <c r="B18" s="72" t="s">
        <v>54</v>
      </c>
      <c r="C18" s="1" t="s">
        <v>46</v>
      </c>
      <c r="D18" s="54">
        <v>38</v>
      </c>
      <c r="E18" s="53">
        <v>69</v>
      </c>
      <c r="F18" s="80" t="s">
        <v>117</v>
      </c>
      <c r="G18" s="93"/>
      <c r="H18" s="83" t="s">
        <v>9</v>
      </c>
      <c r="I18" s="75" t="s">
        <v>97</v>
      </c>
      <c r="J18" s="75" t="s">
        <v>98</v>
      </c>
      <c r="K18" s="84" t="s">
        <v>28</v>
      </c>
      <c r="L18" s="85" t="s">
        <v>29</v>
      </c>
      <c r="N18" s="48">
        <f t="shared" si="4"/>
        <v>14</v>
      </c>
      <c r="O18" s="72" t="s">
        <v>21</v>
      </c>
      <c r="P18" s="72" t="s">
        <v>7</v>
      </c>
      <c r="Q18" s="54">
        <f t="shared" si="0"/>
        <v>29</v>
      </c>
      <c r="R18" s="54">
        <f t="shared" si="1"/>
        <v>67</v>
      </c>
      <c r="Y18" s="73">
        <f t="shared" si="5"/>
        <v>14</v>
      </c>
      <c r="Z18" s="72" t="str">
        <f t="shared" si="7"/>
        <v>Dale Henry</v>
      </c>
      <c r="AA18" s="72" t="str">
        <f t="shared" si="8"/>
        <v>Eric Miltenburg</v>
      </c>
      <c r="AB18" s="73">
        <v>32</v>
      </c>
    </row>
    <row r="19" spans="1:28">
      <c r="A19" s="49">
        <f t="shared" si="2"/>
        <v>15</v>
      </c>
      <c r="B19" s="72" t="s">
        <v>38</v>
      </c>
      <c r="C19" s="72" t="s">
        <v>37</v>
      </c>
      <c r="D19" s="54">
        <v>36</v>
      </c>
      <c r="E19" s="53">
        <v>81</v>
      </c>
      <c r="F19" s="80" t="s">
        <v>118</v>
      </c>
      <c r="G19" s="93"/>
      <c r="H19" s="86">
        <v>1</v>
      </c>
      <c r="I19" s="72" t="s">
        <v>2</v>
      </c>
      <c r="J19" s="72" t="s">
        <v>5</v>
      </c>
      <c r="K19" s="87">
        <v>19</v>
      </c>
      <c r="L19" s="88">
        <v>48</v>
      </c>
      <c r="N19" s="48">
        <f t="shared" si="4"/>
        <v>15</v>
      </c>
      <c r="O19" s="72" t="s">
        <v>32</v>
      </c>
      <c r="P19" s="72" t="s">
        <v>33</v>
      </c>
      <c r="Q19" s="54">
        <f t="shared" si="0"/>
        <v>27.5</v>
      </c>
      <c r="R19" s="54">
        <f t="shared" si="1"/>
        <v>58</v>
      </c>
      <c r="Y19" s="73">
        <f t="shared" si="5"/>
        <v>15</v>
      </c>
      <c r="Z19" s="72" t="str">
        <f t="shared" si="7"/>
        <v>Jo-Ann Carter</v>
      </c>
      <c r="AA19" s="72" t="str">
        <f t="shared" si="8"/>
        <v>Roger Vaillancourt</v>
      </c>
      <c r="AB19" s="73">
        <v>31</v>
      </c>
    </row>
    <row r="20" spans="1:28" ht="16" thickBot="1">
      <c r="A20" s="49">
        <f t="shared" si="2"/>
        <v>16</v>
      </c>
      <c r="B20" s="72" t="s">
        <v>35</v>
      </c>
      <c r="C20" s="72" t="s">
        <v>43</v>
      </c>
      <c r="D20" s="54">
        <v>30</v>
      </c>
      <c r="E20" s="53">
        <v>79</v>
      </c>
      <c r="F20" s="81" t="s">
        <v>119</v>
      </c>
      <c r="G20" s="93"/>
      <c r="H20" s="48">
        <f>H19+1</f>
        <v>2</v>
      </c>
      <c r="I20" s="72" t="s">
        <v>54</v>
      </c>
      <c r="J20" s="1" t="s">
        <v>46</v>
      </c>
      <c r="K20" s="54">
        <v>11</v>
      </c>
      <c r="L20" s="53">
        <v>41</v>
      </c>
      <c r="N20" s="48">
        <f t="shared" si="4"/>
        <v>16</v>
      </c>
      <c r="O20" s="72" t="s">
        <v>41</v>
      </c>
      <c r="P20" s="72" t="s">
        <v>49</v>
      </c>
      <c r="Q20" s="54">
        <f t="shared" si="0"/>
        <v>27.5</v>
      </c>
      <c r="R20" s="54">
        <f t="shared" si="1"/>
        <v>54</v>
      </c>
      <c r="Y20" s="73">
        <f t="shared" si="5"/>
        <v>16</v>
      </c>
      <c r="Z20" s="72" t="str">
        <f t="shared" si="7"/>
        <v>David Younker</v>
      </c>
      <c r="AA20" s="72" t="str">
        <f t="shared" si="8"/>
        <v>Daryl MacDonald</v>
      </c>
      <c r="AB20" s="73">
        <v>30</v>
      </c>
    </row>
    <row r="21" spans="1:28">
      <c r="A21" s="49">
        <f t="shared" si="2"/>
        <v>17</v>
      </c>
      <c r="B21" s="72" t="s">
        <v>50</v>
      </c>
      <c r="C21" s="72" t="s">
        <v>120</v>
      </c>
      <c r="D21" s="54">
        <v>29</v>
      </c>
      <c r="E21" s="53">
        <v>50</v>
      </c>
      <c r="G21" s="93"/>
      <c r="H21" s="48">
        <f t="shared" ref="H21:H22" si="12">H20+1</f>
        <v>3</v>
      </c>
      <c r="I21" s="72" t="s">
        <v>102</v>
      </c>
      <c r="J21" s="72" t="s">
        <v>103</v>
      </c>
      <c r="K21" s="54">
        <v>10</v>
      </c>
      <c r="L21" s="53">
        <v>23</v>
      </c>
      <c r="Y21" s="73">
        <f t="shared" si="5"/>
        <v>17</v>
      </c>
      <c r="Z21" s="72" t="str">
        <f t="shared" ref="Z21:Z35" si="13">B21</f>
        <v>Jeff McKeen</v>
      </c>
      <c r="AA21" s="72" t="str">
        <f t="shared" ref="AA21:AA35" si="14">C21</f>
        <v>Robert Nicol</v>
      </c>
      <c r="AB21" s="73">
        <v>29</v>
      </c>
    </row>
    <row r="22" spans="1:28">
      <c r="A22" s="49">
        <f t="shared" si="2"/>
        <v>18</v>
      </c>
      <c r="B22" s="72" t="s">
        <v>27</v>
      </c>
      <c r="C22" s="72" t="s">
        <v>173</v>
      </c>
      <c r="D22" s="54">
        <v>28</v>
      </c>
      <c r="E22" s="53">
        <v>64</v>
      </c>
      <c r="G22" s="93"/>
      <c r="H22" s="48">
        <f t="shared" si="12"/>
        <v>4</v>
      </c>
      <c r="I22" s="72" t="s">
        <v>45</v>
      </c>
      <c r="J22" s="72" t="s">
        <v>44</v>
      </c>
      <c r="K22" s="54">
        <v>8</v>
      </c>
      <c r="L22" s="53">
        <v>30</v>
      </c>
      <c r="Y22" s="73">
        <f t="shared" si="5"/>
        <v>18</v>
      </c>
      <c r="Z22" s="72" t="str">
        <f t="shared" si="13"/>
        <v>Cathy Kuepfer</v>
      </c>
      <c r="AA22" s="72" t="str">
        <f t="shared" si="14"/>
        <v>Beverly Vaillancourt</v>
      </c>
      <c r="AB22" s="73">
        <v>28</v>
      </c>
    </row>
    <row r="23" spans="1:28">
      <c r="A23" s="49">
        <f t="shared" si="2"/>
        <v>19</v>
      </c>
      <c r="B23" s="72" t="s">
        <v>121</v>
      </c>
      <c r="C23" s="72" t="s">
        <v>122</v>
      </c>
      <c r="D23" s="54">
        <v>28</v>
      </c>
      <c r="E23" s="53">
        <v>61</v>
      </c>
      <c r="G23" s="93"/>
      <c r="Y23" s="73">
        <f t="shared" si="5"/>
        <v>19</v>
      </c>
      <c r="Z23" s="72" t="str">
        <f t="shared" si="13"/>
        <v>Dan Hepburn</v>
      </c>
      <c r="AA23" s="72" t="str">
        <f t="shared" si="14"/>
        <v>Darcy Poitras</v>
      </c>
      <c r="AB23" s="73">
        <v>27</v>
      </c>
    </row>
    <row r="24" spans="1:28" ht="16" thickBot="1">
      <c r="A24" s="49">
        <f t="shared" si="2"/>
        <v>20</v>
      </c>
      <c r="B24" s="72" t="s">
        <v>123</v>
      </c>
      <c r="C24" s="72" t="s">
        <v>124</v>
      </c>
      <c r="D24" s="54">
        <v>28</v>
      </c>
      <c r="E24" s="53">
        <v>42</v>
      </c>
      <c r="G24" s="93"/>
      <c r="H24" s="511" t="s">
        <v>172</v>
      </c>
      <c r="I24" s="511"/>
      <c r="J24" s="511"/>
      <c r="K24" s="511"/>
      <c r="L24" s="511"/>
      <c r="Y24" s="73">
        <f t="shared" si="5"/>
        <v>20</v>
      </c>
      <c r="Z24" s="72" t="str">
        <f t="shared" si="13"/>
        <v>Voeun Vann</v>
      </c>
      <c r="AA24" s="72" t="str">
        <f t="shared" si="14"/>
        <v>Vuth Vann</v>
      </c>
      <c r="AB24" s="73">
        <v>26</v>
      </c>
    </row>
    <row r="25" spans="1:28" ht="16" thickBot="1">
      <c r="A25" s="49">
        <f t="shared" si="2"/>
        <v>21</v>
      </c>
      <c r="B25" s="73" t="s">
        <v>125</v>
      </c>
      <c r="C25" s="73" t="s">
        <v>126</v>
      </c>
      <c r="D25" s="73">
        <v>26</v>
      </c>
      <c r="E25" s="47">
        <v>51</v>
      </c>
      <c r="G25" s="93"/>
      <c r="H25" s="83" t="s">
        <v>9</v>
      </c>
      <c r="I25" s="75" t="s">
        <v>97</v>
      </c>
      <c r="J25" s="75" t="s">
        <v>98</v>
      </c>
      <c r="K25" s="84" t="s">
        <v>28</v>
      </c>
      <c r="L25" s="85" t="s">
        <v>29</v>
      </c>
      <c r="Y25" s="73">
        <f t="shared" si="5"/>
        <v>21</v>
      </c>
      <c r="Z25" s="72" t="str">
        <f t="shared" si="13"/>
        <v>Mike Beaton</v>
      </c>
      <c r="AA25" s="72" t="str">
        <f t="shared" si="14"/>
        <v>Dave Ortibus</v>
      </c>
      <c r="AB25" s="73">
        <f>AB24-1</f>
        <v>25</v>
      </c>
    </row>
    <row r="26" spans="1:28">
      <c r="A26" s="49">
        <f t="shared" si="2"/>
        <v>22</v>
      </c>
      <c r="B26" s="73" t="s">
        <v>51</v>
      </c>
      <c r="C26" s="73" t="s">
        <v>127</v>
      </c>
      <c r="D26" s="73">
        <v>22</v>
      </c>
      <c r="E26" s="47">
        <v>39</v>
      </c>
      <c r="G26" s="93"/>
      <c r="H26" s="86">
        <v>1</v>
      </c>
      <c r="I26" s="72" t="s">
        <v>42</v>
      </c>
      <c r="J26" s="72" t="s">
        <v>30</v>
      </c>
      <c r="K26" s="87">
        <v>18</v>
      </c>
      <c r="L26" s="88">
        <v>34</v>
      </c>
      <c r="Y26" s="73">
        <f t="shared" si="5"/>
        <v>22</v>
      </c>
      <c r="Z26" s="72" t="str">
        <f t="shared" si="13"/>
        <v>Ted Fuller</v>
      </c>
      <c r="AA26" s="72" t="str">
        <f t="shared" si="14"/>
        <v>Andrew Fuller</v>
      </c>
      <c r="AB26" s="73">
        <f t="shared" ref="AB26:AB30" si="15">AB25-1</f>
        <v>24</v>
      </c>
    </row>
    <row r="27" spans="1:28">
      <c r="A27" s="49">
        <f t="shared" si="2"/>
        <v>23</v>
      </c>
      <c r="B27" s="73" t="s">
        <v>31</v>
      </c>
      <c r="C27" s="73" t="s">
        <v>129</v>
      </c>
      <c r="D27" s="73">
        <v>21</v>
      </c>
      <c r="E27" s="47">
        <v>39</v>
      </c>
      <c r="G27" s="93"/>
      <c r="H27" s="48">
        <f>H26+1</f>
        <v>2</v>
      </c>
      <c r="I27" s="72" t="s">
        <v>4</v>
      </c>
      <c r="J27" s="72" t="s">
        <v>8</v>
      </c>
      <c r="K27" s="54">
        <v>15</v>
      </c>
      <c r="L27" s="53">
        <v>29</v>
      </c>
      <c r="Y27" s="73">
        <f t="shared" si="5"/>
        <v>23</v>
      </c>
      <c r="Z27" s="72" t="str">
        <f t="shared" si="13"/>
        <v>Brian Henry</v>
      </c>
      <c r="AA27" s="72" t="str">
        <f t="shared" si="14"/>
        <v>Erwin Printup</v>
      </c>
      <c r="AB27" s="73">
        <f t="shared" si="15"/>
        <v>23</v>
      </c>
    </row>
    <row r="28" spans="1:28">
      <c r="A28" s="49">
        <f t="shared" si="2"/>
        <v>24</v>
      </c>
      <c r="B28" s="73" t="s">
        <v>48</v>
      </c>
      <c r="C28" s="73" t="s">
        <v>128</v>
      </c>
      <c r="D28" s="73">
        <v>21</v>
      </c>
      <c r="E28" s="47">
        <v>33</v>
      </c>
      <c r="G28" s="93"/>
      <c r="H28" s="48">
        <f t="shared" ref="H28:H29" si="16">H27+1</f>
        <v>3</v>
      </c>
      <c r="I28" s="72" t="s">
        <v>41</v>
      </c>
      <c r="J28" s="72" t="s">
        <v>49</v>
      </c>
      <c r="K28" s="54">
        <v>8</v>
      </c>
      <c r="L28" s="53">
        <v>24</v>
      </c>
      <c r="Y28" s="73">
        <f t="shared" si="5"/>
        <v>24</v>
      </c>
      <c r="Z28" s="72" t="str">
        <f t="shared" si="13"/>
        <v>Kathi Fisher</v>
      </c>
      <c r="AA28" s="72" t="str">
        <f t="shared" si="14"/>
        <v>Liz Weatherall</v>
      </c>
      <c r="AB28" s="73">
        <f t="shared" si="15"/>
        <v>22</v>
      </c>
    </row>
    <row r="29" spans="1:28">
      <c r="A29" s="49">
        <f t="shared" si="2"/>
        <v>25</v>
      </c>
      <c r="B29" s="73" t="s">
        <v>130</v>
      </c>
      <c r="C29" s="73" t="s">
        <v>131</v>
      </c>
      <c r="D29" s="73">
        <v>18</v>
      </c>
      <c r="E29" s="47">
        <v>37</v>
      </c>
      <c r="G29" s="93"/>
      <c r="H29" s="48">
        <f t="shared" si="16"/>
        <v>4</v>
      </c>
      <c r="I29" s="72" t="s">
        <v>105</v>
      </c>
      <c r="J29" s="72" t="s">
        <v>52</v>
      </c>
      <c r="K29" s="54">
        <v>7</v>
      </c>
      <c r="L29" s="53">
        <v>26</v>
      </c>
      <c r="Y29" s="73">
        <f t="shared" si="5"/>
        <v>25</v>
      </c>
      <c r="Z29" s="72" t="str">
        <f t="shared" si="13"/>
        <v>Liam Walmsley</v>
      </c>
      <c r="AA29" s="72" t="str">
        <f t="shared" si="14"/>
        <v>Shane Marston</v>
      </c>
      <c r="AB29" s="73">
        <f t="shared" si="15"/>
        <v>21</v>
      </c>
    </row>
    <row r="30" spans="1:28">
      <c r="A30" s="49">
        <f t="shared" si="2"/>
        <v>26</v>
      </c>
      <c r="B30" s="73" t="s">
        <v>132</v>
      </c>
      <c r="C30" s="73" t="s">
        <v>133</v>
      </c>
      <c r="D30" s="73">
        <v>15</v>
      </c>
      <c r="E30" s="47">
        <v>35</v>
      </c>
      <c r="G30" s="93"/>
      <c r="Y30" s="73">
        <f t="shared" si="5"/>
        <v>26</v>
      </c>
      <c r="Z30" s="72" t="str">
        <f t="shared" si="13"/>
        <v>Bryan Mullins</v>
      </c>
      <c r="AA30" s="72" t="str">
        <f t="shared" si="14"/>
        <v>Vincent Sandir</v>
      </c>
      <c r="AB30" s="73">
        <f t="shared" si="15"/>
        <v>20</v>
      </c>
    </row>
    <row r="31" spans="1:28">
      <c r="A31" s="49">
        <f t="shared" si="2"/>
        <v>27</v>
      </c>
      <c r="B31" s="73" t="s">
        <v>423</v>
      </c>
      <c r="C31" s="73" t="s">
        <v>53</v>
      </c>
      <c r="D31" s="73">
        <v>13</v>
      </c>
      <c r="E31" s="47">
        <v>37</v>
      </c>
      <c r="G31" s="93"/>
      <c r="Y31" s="73">
        <f t="shared" si="5"/>
        <v>27</v>
      </c>
      <c r="Z31" s="72" t="str">
        <f t="shared" si="13"/>
        <v>Robin Baillie</v>
      </c>
      <c r="AA31" s="72" t="str">
        <f t="shared" si="14"/>
        <v>Robin Piotto</v>
      </c>
      <c r="AB31" s="73">
        <f>AB30</f>
        <v>20</v>
      </c>
    </row>
    <row r="32" spans="1:28">
      <c r="A32" s="49">
        <f t="shared" si="2"/>
        <v>28</v>
      </c>
      <c r="B32" s="73" t="s">
        <v>135</v>
      </c>
      <c r="C32" s="73" t="s">
        <v>136</v>
      </c>
      <c r="D32" s="73">
        <v>11</v>
      </c>
      <c r="E32" s="47">
        <v>39</v>
      </c>
      <c r="G32" s="93"/>
      <c r="Y32" s="73">
        <f t="shared" si="5"/>
        <v>28</v>
      </c>
      <c r="Z32" s="72" t="str">
        <f t="shared" si="13"/>
        <v>Joshua Bechtel</v>
      </c>
      <c r="AA32" s="72" t="str">
        <f t="shared" si="14"/>
        <v>Nolan Bechtel</v>
      </c>
      <c r="AB32" s="73">
        <f t="shared" ref="AB32:AB35" si="17">AB31</f>
        <v>20</v>
      </c>
    </row>
    <row r="33" spans="1:28">
      <c r="A33" s="49">
        <f t="shared" si="2"/>
        <v>29</v>
      </c>
      <c r="B33" s="73" t="s">
        <v>137</v>
      </c>
      <c r="C33" s="73" t="s">
        <v>138</v>
      </c>
      <c r="D33" s="73">
        <v>5</v>
      </c>
      <c r="E33" s="47">
        <v>16</v>
      </c>
      <c r="G33" s="93"/>
      <c r="Y33" s="73">
        <f t="shared" si="5"/>
        <v>29</v>
      </c>
      <c r="Z33" s="72" t="str">
        <f t="shared" si="13"/>
        <v>Anthony Anemi</v>
      </c>
      <c r="AA33" s="72" t="str">
        <f t="shared" si="14"/>
        <v>Riley Brown</v>
      </c>
      <c r="AB33" s="73">
        <f t="shared" si="17"/>
        <v>20</v>
      </c>
    </row>
    <row r="34" spans="1:28">
      <c r="A34" s="49">
        <f t="shared" si="2"/>
        <v>30</v>
      </c>
      <c r="B34" s="73" t="s">
        <v>139</v>
      </c>
      <c r="C34" s="73" t="s">
        <v>184</v>
      </c>
      <c r="D34" s="73">
        <v>2</v>
      </c>
      <c r="E34" s="47">
        <v>9</v>
      </c>
      <c r="G34" s="93"/>
      <c r="Y34" s="73">
        <f t="shared" si="5"/>
        <v>30</v>
      </c>
      <c r="Z34" s="72" t="str">
        <f t="shared" si="13"/>
        <v>Drake Lees</v>
      </c>
      <c r="AA34" s="72" t="str">
        <f t="shared" si="14"/>
        <v>Matt Hill</v>
      </c>
      <c r="AB34" s="73">
        <f t="shared" si="17"/>
        <v>20</v>
      </c>
    </row>
    <row r="35" spans="1:28" ht="16" thickBot="1">
      <c r="A35" s="51">
        <f t="shared" si="2"/>
        <v>31</v>
      </c>
      <c r="B35" s="77" t="s">
        <v>140</v>
      </c>
      <c r="C35" s="77" t="s">
        <v>141</v>
      </c>
      <c r="D35" s="77">
        <v>0</v>
      </c>
      <c r="E35" s="50">
        <v>20</v>
      </c>
      <c r="G35" s="93"/>
      <c r="Y35" s="73">
        <f t="shared" si="5"/>
        <v>31</v>
      </c>
      <c r="Z35" s="72" t="str">
        <f t="shared" si="13"/>
        <v>John Allan</v>
      </c>
      <c r="AA35" s="72" t="str">
        <f t="shared" si="14"/>
        <v>Brandon Desoussa</v>
      </c>
      <c r="AB35" s="73">
        <f t="shared" si="17"/>
        <v>20</v>
      </c>
    </row>
  </sheetData>
  <autoFilter ref="O4:R20">
    <sortState ref="O5:R20">
      <sortCondition descending="1" ref="Q4:Q20"/>
    </sortState>
  </autoFilter>
  <mergeCells count="11">
    <mergeCell ref="H17:L17"/>
    <mergeCell ref="H24:L24"/>
    <mergeCell ref="N3:R3"/>
    <mergeCell ref="N2:R2"/>
    <mergeCell ref="U3:W3"/>
    <mergeCell ref="U13:W13"/>
    <mergeCell ref="B1:C1"/>
    <mergeCell ref="A3:F3"/>
    <mergeCell ref="H3:L3"/>
    <mergeCell ref="H10:L10"/>
    <mergeCell ref="Y3:AB3"/>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8"/>
  <sheetViews>
    <sheetView topLeftCell="H1" zoomScale="125" zoomScaleNormal="125" zoomScalePageLayoutView="125" workbookViewId="0">
      <selection activeCell="V5" sqref="V5:V58"/>
    </sheetView>
  </sheetViews>
  <sheetFormatPr baseColWidth="10" defaultColWidth="9.1640625" defaultRowHeight="15" x14ac:dyDescent="0"/>
  <cols>
    <col min="1" max="1" width="9.1640625" style="45"/>
    <col min="2" max="2" width="18.1640625" style="112" customWidth="1"/>
    <col min="3" max="3" width="7.6640625" style="78" customWidth="1"/>
    <col min="4" max="4" width="6.83203125" style="78" customWidth="1"/>
    <col min="5" max="5" width="20.83203125" style="78" customWidth="1"/>
    <col min="6" max="7" width="6.5" style="78" customWidth="1"/>
    <col min="8" max="8" width="16.5" style="78" customWidth="1"/>
    <col min="9" max="9" width="7.83203125" style="78" customWidth="1"/>
    <col min="10" max="10" width="7" style="78" customWidth="1"/>
    <col min="11" max="11" width="4.1640625" style="78" customWidth="1"/>
    <col min="12" max="12" width="6.5" style="78" customWidth="1"/>
    <col min="13" max="13" width="16.5" style="78" customWidth="1"/>
    <col min="14" max="14" width="7.83203125" style="78" customWidth="1"/>
    <col min="15" max="15" width="7" style="78" customWidth="1"/>
    <col min="16" max="16" width="4.1640625" style="78" customWidth="1"/>
    <col min="17" max="17" width="6.5" style="78" customWidth="1"/>
    <col min="18" max="18" width="18.5" style="78" customWidth="1"/>
    <col min="19" max="19" width="8.5" style="78" customWidth="1"/>
    <col min="20" max="20" width="11.5" style="78" customWidth="1"/>
    <col min="21" max="21" width="7.83203125" style="78" customWidth="1"/>
    <col min="22" max="22" width="17.1640625" style="45" customWidth="1"/>
    <col min="23" max="23" width="11.6640625" style="78" customWidth="1"/>
    <col min="24" max="16384" width="9.1640625" style="45"/>
  </cols>
  <sheetData>
    <row r="1" spans="1:23">
      <c r="B1" s="110" t="s">
        <v>152</v>
      </c>
      <c r="H1" s="117"/>
    </row>
    <row r="2" spans="1:23">
      <c r="B2" s="110"/>
      <c r="L2" s="511" t="s">
        <v>174</v>
      </c>
      <c r="M2" s="511"/>
      <c r="N2" s="511"/>
      <c r="O2" s="511"/>
    </row>
    <row r="3" spans="1:23" ht="16" thickBot="1">
      <c r="A3" s="511" t="s">
        <v>153</v>
      </c>
      <c r="B3" s="511"/>
      <c r="C3" s="511"/>
      <c r="D3" s="511"/>
      <c r="E3" s="511"/>
      <c r="G3" s="511" t="s">
        <v>143</v>
      </c>
      <c r="H3" s="511"/>
      <c r="I3" s="511"/>
      <c r="J3" s="511"/>
      <c r="L3" s="512" t="s">
        <v>176</v>
      </c>
      <c r="M3" s="512"/>
      <c r="N3" s="512"/>
      <c r="O3" s="512"/>
      <c r="Q3" s="512" t="s">
        <v>177</v>
      </c>
      <c r="R3" s="512"/>
      <c r="S3" s="512"/>
      <c r="U3" s="511" t="s">
        <v>150</v>
      </c>
      <c r="V3" s="511"/>
      <c r="W3" s="511"/>
    </row>
    <row r="4" spans="1:23" ht="17" thickTop="1" thickBot="1">
      <c r="A4" s="74" t="s">
        <v>9</v>
      </c>
      <c r="B4" s="74" t="s">
        <v>154</v>
      </c>
      <c r="C4" s="75" t="s">
        <v>0</v>
      </c>
      <c r="D4" s="96" t="s">
        <v>1</v>
      </c>
      <c r="E4" s="79" t="s">
        <v>99</v>
      </c>
      <c r="G4" s="105" t="s">
        <v>9</v>
      </c>
      <c r="H4" s="106" t="s">
        <v>154</v>
      </c>
      <c r="I4" s="107" t="s">
        <v>28</v>
      </c>
      <c r="J4" s="108" t="s">
        <v>29</v>
      </c>
      <c r="L4" s="83" t="s">
        <v>9</v>
      </c>
      <c r="M4" s="75" t="s">
        <v>154</v>
      </c>
      <c r="N4" s="84" t="s">
        <v>28</v>
      </c>
      <c r="O4" s="85" t="s">
        <v>29</v>
      </c>
      <c r="Q4" s="75" t="s">
        <v>151</v>
      </c>
      <c r="R4" s="75" t="s">
        <v>154</v>
      </c>
      <c r="S4" s="84" t="s">
        <v>28</v>
      </c>
      <c r="U4" s="75" t="s">
        <v>9</v>
      </c>
      <c r="V4" s="75" t="s">
        <v>154</v>
      </c>
      <c r="W4" s="46" t="s">
        <v>15</v>
      </c>
    </row>
    <row r="5" spans="1:23">
      <c r="A5" s="94">
        <v>1</v>
      </c>
      <c r="B5" s="95" t="s">
        <v>6</v>
      </c>
      <c r="C5" s="87">
        <v>82</v>
      </c>
      <c r="D5" s="97">
        <v>128</v>
      </c>
      <c r="E5" s="80" t="s">
        <v>100</v>
      </c>
      <c r="G5" s="101">
        <v>1</v>
      </c>
      <c r="H5" s="102" t="s">
        <v>6</v>
      </c>
      <c r="I5" s="103">
        <v>28</v>
      </c>
      <c r="J5" s="104">
        <v>56</v>
      </c>
      <c r="L5" s="89">
        <v>1</v>
      </c>
      <c r="M5" s="90" t="s">
        <v>6</v>
      </c>
      <c r="N5" s="91">
        <f t="shared" ref="N5:N28" si="0">INDEX(C:C,MATCH($M5,$B:$B,0))/2+INDEX(I:I,MATCH($M5,$H:$H,0))</f>
        <v>69</v>
      </c>
      <c r="O5" s="91">
        <f t="shared" ref="O5:O28" si="1">INDEX(D:D,MATCH($M5,$B:$B,0))/2+INDEX(J:J,MATCH($M5,$H:$H,0))</f>
        <v>120</v>
      </c>
      <c r="Q5" s="73">
        <f>L5</f>
        <v>1</v>
      </c>
      <c r="R5" s="73" t="str">
        <f>VLOOKUP(Q5,L:O,2,FALSE)</f>
        <v>Justin Slater</v>
      </c>
      <c r="S5" s="73">
        <v>3</v>
      </c>
      <c r="U5" s="73">
        <v>1</v>
      </c>
      <c r="V5" s="72" t="str">
        <f>R28</f>
        <v>Connor Reinman</v>
      </c>
      <c r="W5" s="73">
        <v>50</v>
      </c>
    </row>
    <row r="6" spans="1:23">
      <c r="A6" s="49">
        <f>A5+1</f>
        <v>2</v>
      </c>
      <c r="B6" s="72" t="s">
        <v>34</v>
      </c>
      <c r="C6" s="54">
        <v>79</v>
      </c>
      <c r="D6" s="98">
        <v>124</v>
      </c>
      <c r="E6" s="80" t="s">
        <v>101</v>
      </c>
      <c r="G6" s="48">
        <f>G5+1</f>
        <v>2</v>
      </c>
      <c r="H6" s="72" t="s">
        <v>22</v>
      </c>
      <c r="I6" s="54">
        <v>26</v>
      </c>
      <c r="J6" s="53">
        <v>46</v>
      </c>
      <c r="L6" s="92">
        <f>L5+1</f>
        <v>2</v>
      </c>
      <c r="M6" s="90" t="s">
        <v>109</v>
      </c>
      <c r="N6" s="91">
        <f t="shared" si="0"/>
        <v>66.5</v>
      </c>
      <c r="O6" s="91">
        <f t="shared" si="1"/>
        <v>89</v>
      </c>
      <c r="Q6" s="73">
        <v>8</v>
      </c>
      <c r="R6" s="73" t="str">
        <f>VLOOKUP(Q6,L:O,2,FALSE)</f>
        <v>Ray Beierling</v>
      </c>
      <c r="S6" s="73">
        <v>9</v>
      </c>
      <c r="U6" s="73">
        <f>U5+1</f>
        <v>2</v>
      </c>
      <c r="V6" s="72" t="str">
        <f>R27</f>
        <v>Jeremy Tracey</v>
      </c>
      <c r="W6" s="73">
        <v>47</v>
      </c>
    </row>
    <row r="7" spans="1:23">
      <c r="A7" s="49">
        <f t="shared" ref="A7:A58" si="2">A6+1</f>
        <v>3</v>
      </c>
      <c r="B7" s="72" t="s">
        <v>35</v>
      </c>
      <c r="C7" s="54">
        <v>74</v>
      </c>
      <c r="D7" s="98">
        <v>87</v>
      </c>
      <c r="E7" s="80" t="s">
        <v>104</v>
      </c>
      <c r="G7" s="48">
        <f t="shared" ref="G7:G10" si="3">G6+1</f>
        <v>3</v>
      </c>
      <c r="H7" s="72" t="s">
        <v>7</v>
      </c>
      <c r="I7" s="54">
        <v>23</v>
      </c>
      <c r="J7" s="53">
        <v>49</v>
      </c>
      <c r="L7" s="92">
        <f t="shared" ref="L7:L28" si="4">L6+1</f>
        <v>3</v>
      </c>
      <c r="M7" s="90" t="s">
        <v>34</v>
      </c>
      <c r="N7" s="91">
        <f t="shared" si="0"/>
        <v>65.5</v>
      </c>
      <c r="O7" s="91">
        <f t="shared" si="1"/>
        <v>109</v>
      </c>
      <c r="U7" s="73">
        <f t="shared" ref="U7:U58" si="5">U6+1</f>
        <v>3</v>
      </c>
      <c r="V7" s="72" t="str">
        <f>R23</f>
        <v>Andrew Hutchinson</v>
      </c>
      <c r="W7" s="73">
        <v>45</v>
      </c>
    </row>
    <row r="8" spans="1:23">
      <c r="A8" s="49">
        <f t="shared" si="2"/>
        <v>4</v>
      </c>
      <c r="B8" s="72" t="s">
        <v>39</v>
      </c>
      <c r="C8" s="54">
        <v>72</v>
      </c>
      <c r="D8" s="98">
        <v>116</v>
      </c>
      <c r="E8" s="100" t="s">
        <v>106</v>
      </c>
      <c r="G8" s="48">
        <f t="shared" si="3"/>
        <v>4</v>
      </c>
      <c r="H8" s="72" t="s">
        <v>38</v>
      </c>
      <c r="I8" s="54">
        <v>19</v>
      </c>
      <c r="J8" s="53">
        <v>49</v>
      </c>
      <c r="L8" s="92">
        <f t="shared" si="4"/>
        <v>4</v>
      </c>
      <c r="M8" s="90" t="s">
        <v>35</v>
      </c>
      <c r="N8" s="91">
        <f t="shared" si="0"/>
        <v>64</v>
      </c>
      <c r="O8" s="91">
        <f t="shared" si="1"/>
        <v>73.5</v>
      </c>
      <c r="Q8" s="73">
        <v>5</v>
      </c>
      <c r="R8" s="73" t="str">
        <f>VLOOKUP(Q8,L:O,2,FALSE)</f>
        <v>Robert Bonnett</v>
      </c>
      <c r="S8" s="73">
        <v>4</v>
      </c>
      <c r="U8" s="73">
        <f t="shared" si="5"/>
        <v>4</v>
      </c>
      <c r="V8" s="72" t="str">
        <f>R19</f>
        <v>Ray Beierling</v>
      </c>
      <c r="W8" s="73">
        <v>43</v>
      </c>
    </row>
    <row r="9" spans="1:23">
      <c r="A9" s="49">
        <f t="shared" si="2"/>
        <v>5</v>
      </c>
      <c r="B9" s="72" t="s">
        <v>109</v>
      </c>
      <c r="C9" s="54">
        <v>71</v>
      </c>
      <c r="D9" s="98">
        <v>90</v>
      </c>
      <c r="E9" s="100" t="s">
        <v>107</v>
      </c>
      <c r="G9" s="48">
        <f t="shared" si="3"/>
        <v>5</v>
      </c>
      <c r="H9" s="72" t="s">
        <v>173</v>
      </c>
      <c r="I9" s="54">
        <v>13</v>
      </c>
      <c r="J9" s="53">
        <v>37</v>
      </c>
      <c r="L9" s="92">
        <f t="shared" si="4"/>
        <v>5</v>
      </c>
      <c r="M9" s="90" t="s">
        <v>22</v>
      </c>
      <c r="N9" s="91">
        <f t="shared" si="0"/>
        <v>60</v>
      </c>
      <c r="O9" s="91">
        <f t="shared" si="1"/>
        <v>100.5</v>
      </c>
      <c r="Q9" s="73">
        <v>4</v>
      </c>
      <c r="R9" s="73" t="str">
        <f>VLOOKUP(Q9,L:O,2,FALSE)</f>
        <v>Jeremy Tracey</v>
      </c>
      <c r="S9" s="73">
        <v>10</v>
      </c>
      <c r="U9" s="73">
        <f t="shared" si="5"/>
        <v>5</v>
      </c>
      <c r="V9" s="72" t="str">
        <f>R5</f>
        <v>Justin Slater</v>
      </c>
      <c r="W9" s="73">
        <v>41</v>
      </c>
    </row>
    <row r="10" spans="1:23">
      <c r="A10" s="49">
        <f t="shared" si="2"/>
        <v>6</v>
      </c>
      <c r="B10" s="72" t="s">
        <v>36</v>
      </c>
      <c r="C10" s="54">
        <v>70</v>
      </c>
      <c r="D10" s="98">
        <v>132</v>
      </c>
      <c r="E10" s="100" t="s">
        <v>108</v>
      </c>
      <c r="G10" s="48">
        <f t="shared" si="3"/>
        <v>6</v>
      </c>
      <c r="H10" s="109" t="s">
        <v>45</v>
      </c>
      <c r="I10" s="54">
        <v>11</v>
      </c>
      <c r="J10" s="53">
        <v>36</v>
      </c>
      <c r="L10" s="92">
        <f t="shared" si="4"/>
        <v>6</v>
      </c>
      <c r="M10" s="90" t="s">
        <v>39</v>
      </c>
      <c r="N10" s="91">
        <f t="shared" si="0"/>
        <v>60</v>
      </c>
      <c r="O10" s="91">
        <f t="shared" si="1"/>
        <v>89</v>
      </c>
      <c r="U10" s="73">
        <f t="shared" si="5"/>
        <v>6</v>
      </c>
      <c r="V10" s="72" t="str">
        <f>R15</f>
        <v>Tom Johnston</v>
      </c>
      <c r="W10" s="73">
        <v>40</v>
      </c>
    </row>
    <row r="11" spans="1:23">
      <c r="A11" s="49">
        <f t="shared" si="2"/>
        <v>7</v>
      </c>
      <c r="B11" s="72" t="s">
        <v>105</v>
      </c>
      <c r="C11" s="54">
        <v>70</v>
      </c>
      <c r="D11" s="98">
        <v>107</v>
      </c>
      <c r="E11" s="100" t="s">
        <v>110</v>
      </c>
      <c r="L11" s="92">
        <f t="shared" si="4"/>
        <v>7</v>
      </c>
      <c r="M11" s="90" t="s">
        <v>36</v>
      </c>
      <c r="N11" s="91">
        <f t="shared" si="0"/>
        <v>59</v>
      </c>
      <c r="O11" s="91">
        <f t="shared" si="1"/>
        <v>122</v>
      </c>
      <c r="Q11" s="73">
        <v>3</v>
      </c>
      <c r="R11" s="73" t="str">
        <f>VLOOKUP(Q11,L:O,2,FALSE)</f>
        <v>Connor Reinman</v>
      </c>
      <c r="S11" s="73">
        <v>10</v>
      </c>
      <c r="U11" s="73">
        <f t="shared" si="5"/>
        <v>7</v>
      </c>
      <c r="V11" s="72" t="str">
        <f>R8</f>
        <v>Robert Bonnett</v>
      </c>
      <c r="W11" s="73">
        <v>39</v>
      </c>
    </row>
    <row r="12" spans="1:23" ht="16" thickBot="1">
      <c r="A12" s="49">
        <f t="shared" si="2"/>
        <v>8</v>
      </c>
      <c r="B12" s="72" t="s">
        <v>22</v>
      </c>
      <c r="C12" s="54">
        <v>68</v>
      </c>
      <c r="D12" s="98">
        <v>109</v>
      </c>
      <c r="E12" s="100" t="s">
        <v>111</v>
      </c>
      <c r="G12" s="511" t="s">
        <v>144</v>
      </c>
      <c r="H12" s="511"/>
      <c r="I12" s="511"/>
      <c r="J12" s="511"/>
      <c r="L12" s="92">
        <f t="shared" si="4"/>
        <v>8</v>
      </c>
      <c r="M12" s="90" t="s">
        <v>2</v>
      </c>
      <c r="N12" s="91">
        <f t="shared" si="0"/>
        <v>58.5</v>
      </c>
      <c r="O12" s="91">
        <f t="shared" si="1"/>
        <v>115.5</v>
      </c>
      <c r="Q12" s="73">
        <v>6</v>
      </c>
      <c r="R12" s="73" t="str">
        <f>VLOOKUP(Q12,L:O,2,FALSE)</f>
        <v>Raymond Kappes</v>
      </c>
      <c r="S12" s="73">
        <v>6</v>
      </c>
      <c r="U12" s="73">
        <f t="shared" si="5"/>
        <v>8</v>
      </c>
      <c r="V12" s="72" t="str">
        <f>R12</f>
        <v>Raymond Kappes</v>
      </c>
      <c r="W12" s="73">
        <v>38</v>
      </c>
    </row>
    <row r="13" spans="1:23" ht="16" thickBot="1">
      <c r="A13" s="49">
        <f t="shared" si="2"/>
        <v>9</v>
      </c>
      <c r="B13" s="72" t="s">
        <v>38</v>
      </c>
      <c r="C13" s="54">
        <v>66</v>
      </c>
      <c r="D13" s="98">
        <v>107</v>
      </c>
      <c r="E13" s="100" t="s">
        <v>112</v>
      </c>
      <c r="G13" s="105" t="s">
        <v>9</v>
      </c>
      <c r="H13" s="106" t="s">
        <v>154</v>
      </c>
      <c r="I13" s="107" t="s">
        <v>28</v>
      </c>
      <c r="J13" s="108" t="s">
        <v>29</v>
      </c>
      <c r="L13" s="115">
        <f t="shared" si="4"/>
        <v>9</v>
      </c>
      <c r="M13" s="113" t="s">
        <v>4</v>
      </c>
      <c r="N13" s="114">
        <f t="shared" si="0"/>
        <v>55.5</v>
      </c>
      <c r="O13" s="114">
        <f t="shared" si="1"/>
        <v>97</v>
      </c>
      <c r="U13" s="73">
        <f t="shared" si="5"/>
        <v>9</v>
      </c>
      <c r="V13" s="72" t="str">
        <f>M13</f>
        <v>Nathan Walsh</v>
      </c>
      <c r="W13" s="73">
        <v>37</v>
      </c>
    </row>
    <row r="14" spans="1:23">
      <c r="A14" s="49">
        <f t="shared" si="2"/>
        <v>10</v>
      </c>
      <c r="B14" s="72" t="s">
        <v>42</v>
      </c>
      <c r="C14" s="54">
        <v>65</v>
      </c>
      <c r="D14" s="98">
        <v>106</v>
      </c>
      <c r="E14" s="100" t="s">
        <v>113</v>
      </c>
      <c r="G14" s="86">
        <v>1</v>
      </c>
      <c r="H14" s="72" t="s">
        <v>2</v>
      </c>
      <c r="I14" s="87">
        <v>28</v>
      </c>
      <c r="J14" s="88">
        <v>50</v>
      </c>
      <c r="L14" s="115">
        <f t="shared" si="4"/>
        <v>10</v>
      </c>
      <c r="M14" s="113" t="s">
        <v>105</v>
      </c>
      <c r="N14" s="114">
        <f t="shared" si="0"/>
        <v>54</v>
      </c>
      <c r="O14" s="114">
        <f t="shared" si="1"/>
        <v>91.5</v>
      </c>
      <c r="Q14" s="73">
        <v>7</v>
      </c>
      <c r="R14" s="73" t="str">
        <f>VLOOKUP(Q14,L:O,2,FALSE)</f>
        <v>Andrew Hutchinson</v>
      </c>
      <c r="S14" s="73">
        <v>9</v>
      </c>
      <c r="U14" s="73">
        <f t="shared" si="5"/>
        <v>10</v>
      </c>
      <c r="V14" s="72" t="str">
        <f t="shared" ref="V14:V28" si="6">M14</f>
        <v>Simon Dowrick</v>
      </c>
      <c r="W14" s="73">
        <v>36</v>
      </c>
    </row>
    <row r="15" spans="1:23">
      <c r="A15" s="49">
        <f t="shared" si="2"/>
        <v>11</v>
      </c>
      <c r="B15" s="72" t="s">
        <v>4</v>
      </c>
      <c r="C15" s="54">
        <v>65</v>
      </c>
      <c r="D15" s="98">
        <v>80</v>
      </c>
      <c r="E15" s="100" t="s">
        <v>114</v>
      </c>
      <c r="G15" s="48">
        <f>G14+1</f>
        <v>2</v>
      </c>
      <c r="H15" s="72" t="s">
        <v>34</v>
      </c>
      <c r="I15" s="54">
        <v>26</v>
      </c>
      <c r="J15" s="53">
        <v>47</v>
      </c>
      <c r="L15" s="115">
        <f t="shared" si="4"/>
        <v>11</v>
      </c>
      <c r="M15" s="113" t="s">
        <v>7</v>
      </c>
      <c r="N15" s="114">
        <f t="shared" si="0"/>
        <v>53</v>
      </c>
      <c r="O15" s="114">
        <f t="shared" si="1"/>
        <v>90</v>
      </c>
      <c r="Q15" s="73">
        <v>2</v>
      </c>
      <c r="R15" s="73" t="str">
        <f>VLOOKUP(Q15,L:O,2,FALSE)</f>
        <v>Tom Johnston</v>
      </c>
      <c r="S15" s="73">
        <v>3</v>
      </c>
      <c r="U15" s="73">
        <f t="shared" si="5"/>
        <v>11</v>
      </c>
      <c r="V15" s="72" t="str">
        <f t="shared" si="6"/>
        <v>Eric Miltenburg</v>
      </c>
      <c r="W15" s="73">
        <v>35</v>
      </c>
    </row>
    <row r="16" spans="1:23">
      <c r="A16" s="49">
        <f t="shared" si="2"/>
        <v>12</v>
      </c>
      <c r="B16" s="72" t="s">
        <v>155</v>
      </c>
      <c r="C16" s="54">
        <v>64</v>
      </c>
      <c r="D16" s="98">
        <v>88</v>
      </c>
      <c r="E16" s="80" t="s">
        <v>115</v>
      </c>
      <c r="G16" s="48">
        <f t="shared" ref="G16:G19" si="7">G15+1</f>
        <v>3</v>
      </c>
      <c r="H16" s="72" t="s">
        <v>42</v>
      </c>
      <c r="I16" s="54">
        <v>20</v>
      </c>
      <c r="J16" s="53">
        <v>38</v>
      </c>
      <c r="L16" s="115">
        <f t="shared" si="4"/>
        <v>12</v>
      </c>
      <c r="M16" s="113" t="s">
        <v>155</v>
      </c>
      <c r="N16" s="114">
        <f t="shared" si="0"/>
        <v>53</v>
      </c>
      <c r="O16" s="114">
        <f t="shared" si="1"/>
        <v>74</v>
      </c>
      <c r="U16" s="73">
        <f t="shared" si="5"/>
        <v>12</v>
      </c>
      <c r="V16" s="72" t="str">
        <f t="shared" si="6"/>
        <v>Kris Flossbach</v>
      </c>
      <c r="W16" s="73">
        <v>34</v>
      </c>
    </row>
    <row r="17" spans="1:23" ht="16" thickBot="1">
      <c r="A17" s="49">
        <v>14</v>
      </c>
      <c r="B17" s="72" t="s">
        <v>46</v>
      </c>
      <c r="C17" s="54">
        <v>62</v>
      </c>
      <c r="D17" s="98">
        <v>97</v>
      </c>
      <c r="E17" s="82" t="s">
        <v>116</v>
      </c>
      <c r="G17" s="48">
        <f t="shared" si="7"/>
        <v>4</v>
      </c>
      <c r="H17" s="72" t="s">
        <v>105</v>
      </c>
      <c r="I17" s="54">
        <v>19</v>
      </c>
      <c r="J17" s="53">
        <v>38</v>
      </c>
      <c r="L17" s="115">
        <f t="shared" si="4"/>
        <v>13</v>
      </c>
      <c r="M17" s="113" t="s">
        <v>42</v>
      </c>
      <c r="N17" s="114">
        <f t="shared" si="0"/>
        <v>52.5</v>
      </c>
      <c r="O17" s="114">
        <f t="shared" si="1"/>
        <v>91</v>
      </c>
      <c r="Q17" s="512" t="s">
        <v>178</v>
      </c>
      <c r="R17" s="512"/>
      <c r="S17" s="512"/>
      <c r="U17" s="73">
        <f t="shared" si="5"/>
        <v>13</v>
      </c>
      <c r="V17" s="72" t="str">
        <f t="shared" si="6"/>
        <v>Ron Langill</v>
      </c>
      <c r="W17" s="73">
        <v>33</v>
      </c>
    </row>
    <row r="18" spans="1:23">
      <c r="A18" s="49">
        <v>13</v>
      </c>
      <c r="B18" s="72" t="s">
        <v>5</v>
      </c>
      <c r="C18" s="54">
        <v>62</v>
      </c>
      <c r="D18" s="98">
        <v>104</v>
      </c>
      <c r="E18" s="82" t="s">
        <v>117</v>
      </c>
      <c r="G18" s="48">
        <f t="shared" si="7"/>
        <v>5</v>
      </c>
      <c r="H18" s="72" t="s">
        <v>103</v>
      </c>
      <c r="I18" s="54">
        <v>17</v>
      </c>
      <c r="J18" s="53">
        <v>48</v>
      </c>
      <c r="L18" s="115">
        <f t="shared" si="4"/>
        <v>14</v>
      </c>
      <c r="M18" s="113" t="s">
        <v>38</v>
      </c>
      <c r="N18" s="114">
        <f t="shared" si="0"/>
        <v>52</v>
      </c>
      <c r="O18" s="114">
        <f t="shared" si="1"/>
        <v>102.5</v>
      </c>
      <c r="Q18" s="75" t="s">
        <v>151</v>
      </c>
      <c r="R18" s="75" t="s">
        <v>154</v>
      </c>
      <c r="S18" s="84" t="s">
        <v>28</v>
      </c>
      <c r="U18" s="73">
        <f t="shared" si="5"/>
        <v>14</v>
      </c>
      <c r="V18" s="72" t="str">
        <f t="shared" si="6"/>
        <v>Reid Tracey</v>
      </c>
      <c r="W18" s="73">
        <v>32</v>
      </c>
    </row>
    <row r="19" spans="1:23">
      <c r="A19" s="49">
        <v>15</v>
      </c>
      <c r="B19" s="72" t="s">
        <v>2</v>
      </c>
      <c r="C19" s="54">
        <v>61</v>
      </c>
      <c r="D19" s="98">
        <v>131</v>
      </c>
      <c r="E19" s="80" t="s">
        <v>118</v>
      </c>
      <c r="G19" s="48">
        <f t="shared" si="7"/>
        <v>6</v>
      </c>
      <c r="H19" s="72" t="s">
        <v>3</v>
      </c>
      <c r="I19" s="54">
        <v>10</v>
      </c>
      <c r="J19" s="53">
        <v>35</v>
      </c>
      <c r="L19" s="115">
        <f t="shared" si="4"/>
        <v>15</v>
      </c>
      <c r="M19" s="113" t="s">
        <v>37</v>
      </c>
      <c r="N19" s="114">
        <f t="shared" si="0"/>
        <v>49.5</v>
      </c>
      <c r="O19" s="114">
        <f t="shared" si="1"/>
        <v>84</v>
      </c>
      <c r="Q19" s="73">
        <v>8</v>
      </c>
      <c r="R19" s="73" t="str">
        <f>VLOOKUP(Q19,L:O,2,FALSE)</f>
        <v>Ray Beierling</v>
      </c>
      <c r="S19" s="73">
        <v>3</v>
      </c>
      <c r="U19" s="73">
        <f t="shared" si="5"/>
        <v>15</v>
      </c>
      <c r="V19" s="72" t="str">
        <f t="shared" si="6"/>
        <v>Nolan Tracey</v>
      </c>
      <c r="W19" s="73">
        <v>31</v>
      </c>
    </row>
    <row r="20" spans="1:23">
      <c r="A20" s="49">
        <f t="shared" si="2"/>
        <v>16</v>
      </c>
      <c r="B20" s="72" t="s">
        <v>173</v>
      </c>
      <c r="C20" s="54">
        <v>60</v>
      </c>
      <c r="D20" s="98">
        <v>113</v>
      </c>
      <c r="E20" s="80" t="s">
        <v>119</v>
      </c>
      <c r="L20" s="115">
        <f t="shared" si="4"/>
        <v>16</v>
      </c>
      <c r="M20" s="113" t="s">
        <v>103</v>
      </c>
      <c r="N20" s="114">
        <f t="shared" si="0"/>
        <v>47</v>
      </c>
      <c r="O20" s="114">
        <f t="shared" si="1"/>
        <v>98.5</v>
      </c>
      <c r="Q20" s="73">
        <v>4</v>
      </c>
      <c r="R20" s="73" t="str">
        <f>VLOOKUP(Q20,L:O,2,FALSE)</f>
        <v>Jeremy Tracey</v>
      </c>
      <c r="S20" s="73">
        <v>9</v>
      </c>
      <c r="U20" s="73">
        <f t="shared" si="5"/>
        <v>16</v>
      </c>
      <c r="V20" s="72" t="str">
        <f t="shared" si="6"/>
        <v>Josh Carrafiello</v>
      </c>
      <c r="W20" s="73">
        <v>30</v>
      </c>
    </row>
    <row r="21" spans="1:23" ht="16" thickBot="1">
      <c r="A21" s="49">
        <v>18</v>
      </c>
      <c r="B21" s="72" t="s">
        <v>7</v>
      </c>
      <c r="C21" s="54">
        <v>60</v>
      </c>
      <c r="D21" s="98">
        <v>82</v>
      </c>
      <c r="E21" s="82" t="s">
        <v>156</v>
      </c>
      <c r="G21" s="512" t="s">
        <v>145</v>
      </c>
      <c r="H21" s="512"/>
      <c r="I21" s="512"/>
      <c r="J21" s="512"/>
      <c r="L21" s="115">
        <f t="shared" si="4"/>
        <v>17</v>
      </c>
      <c r="M21" s="113" t="s">
        <v>46</v>
      </c>
      <c r="N21" s="114">
        <f t="shared" si="0"/>
        <v>47</v>
      </c>
      <c r="O21" s="114">
        <f t="shared" si="1"/>
        <v>82.5</v>
      </c>
      <c r="U21" s="73">
        <f t="shared" si="5"/>
        <v>17</v>
      </c>
      <c r="V21" s="72" t="str">
        <f t="shared" si="6"/>
        <v>Darren Carr</v>
      </c>
      <c r="W21" s="73">
        <v>29</v>
      </c>
    </row>
    <row r="22" spans="1:23" ht="16" thickBot="1">
      <c r="A22" s="49">
        <v>17</v>
      </c>
      <c r="B22" s="72" t="s">
        <v>103</v>
      </c>
      <c r="C22" s="54">
        <v>60</v>
      </c>
      <c r="D22" s="98">
        <v>101</v>
      </c>
      <c r="E22" s="82" t="s">
        <v>157</v>
      </c>
      <c r="G22" s="105" t="s">
        <v>9</v>
      </c>
      <c r="H22" s="106" t="s">
        <v>154</v>
      </c>
      <c r="I22" s="107" t="s">
        <v>28</v>
      </c>
      <c r="J22" s="108" t="s">
        <v>29</v>
      </c>
      <c r="L22" s="115">
        <f t="shared" si="4"/>
        <v>18</v>
      </c>
      <c r="M22" s="113" t="s">
        <v>5</v>
      </c>
      <c r="N22" s="114">
        <f t="shared" si="0"/>
        <v>46</v>
      </c>
      <c r="O22" s="114">
        <f t="shared" si="1"/>
        <v>87</v>
      </c>
      <c r="Q22" s="73">
        <v>3</v>
      </c>
      <c r="R22" s="73" t="str">
        <f>VLOOKUP(Q22,L:O,2,FALSE)</f>
        <v>Connor Reinman</v>
      </c>
      <c r="S22" s="73">
        <v>9</v>
      </c>
      <c r="U22" s="73">
        <f t="shared" si="5"/>
        <v>18</v>
      </c>
      <c r="V22" s="72" t="str">
        <f t="shared" si="6"/>
        <v>Jason Beierling</v>
      </c>
      <c r="W22" s="73">
        <v>28</v>
      </c>
    </row>
    <row r="23" spans="1:23">
      <c r="A23" s="49">
        <v>19</v>
      </c>
      <c r="B23" s="72" t="s">
        <v>16</v>
      </c>
      <c r="C23" s="54">
        <v>57</v>
      </c>
      <c r="D23" s="98">
        <v>94</v>
      </c>
      <c r="E23" s="80" t="s">
        <v>158</v>
      </c>
      <c r="G23" s="86">
        <v>1</v>
      </c>
      <c r="H23" s="72" t="s">
        <v>35</v>
      </c>
      <c r="I23" s="87">
        <v>27</v>
      </c>
      <c r="J23" s="88">
        <v>30</v>
      </c>
      <c r="L23" s="115">
        <f t="shared" si="4"/>
        <v>19</v>
      </c>
      <c r="M23" s="113" t="s">
        <v>16</v>
      </c>
      <c r="N23" s="114">
        <f t="shared" si="0"/>
        <v>43.5</v>
      </c>
      <c r="O23" s="114">
        <f t="shared" si="1"/>
        <v>80</v>
      </c>
      <c r="Q23" s="73">
        <v>7</v>
      </c>
      <c r="R23" s="73" t="str">
        <f>VLOOKUP(Q23,L:O,2,FALSE)</f>
        <v>Andrew Hutchinson</v>
      </c>
      <c r="S23" s="73">
        <v>1</v>
      </c>
      <c r="U23" s="73">
        <f t="shared" si="5"/>
        <v>19</v>
      </c>
      <c r="V23" s="72" t="str">
        <f t="shared" si="6"/>
        <v>Roy Campbell</v>
      </c>
      <c r="W23" s="73">
        <v>27</v>
      </c>
    </row>
    <row r="24" spans="1:23">
      <c r="A24" s="49">
        <f t="shared" si="2"/>
        <v>20</v>
      </c>
      <c r="B24" s="72" t="s">
        <v>49</v>
      </c>
      <c r="C24" s="54">
        <v>56</v>
      </c>
      <c r="D24" s="98">
        <v>70</v>
      </c>
      <c r="E24" s="80" t="s">
        <v>159</v>
      </c>
      <c r="G24" s="48">
        <f>G23+1</f>
        <v>2</v>
      </c>
      <c r="H24" s="72" t="s">
        <v>36</v>
      </c>
      <c r="I24" s="54">
        <v>24</v>
      </c>
      <c r="J24" s="53">
        <v>56</v>
      </c>
      <c r="L24" s="115">
        <f t="shared" si="4"/>
        <v>20</v>
      </c>
      <c r="M24" s="113" t="s">
        <v>173</v>
      </c>
      <c r="N24" s="114">
        <f t="shared" si="0"/>
        <v>43</v>
      </c>
      <c r="O24" s="114">
        <f t="shared" si="1"/>
        <v>93.5</v>
      </c>
      <c r="U24" s="73">
        <f t="shared" si="5"/>
        <v>20</v>
      </c>
      <c r="V24" s="72" t="str">
        <f t="shared" si="6"/>
        <v>Beverly Vaillancourt</v>
      </c>
      <c r="W24" s="73">
        <v>26</v>
      </c>
    </row>
    <row r="25" spans="1:23" ht="16" thickBot="1">
      <c r="A25" s="49">
        <f t="shared" si="2"/>
        <v>21</v>
      </c>
      <c r="B25" s="109" t="s">
        <v>37</v>
      </c>
      <c r="C25" s="73">
        <v>55</v>
      </c>
      <c r="D25" s="99">
        <v>92</v>
      </c>
      <c r="E25" s="80" t="s">
        <v>160</v>
      </c>
      <c r="G25" s="48">
        <f t="shared" ref="G25:G28" si="8">G24+1</f>
        <v>3</v>
      </c>
      <c r="H25" s="72" t="s">
        <v>4</v>
      </c>
      <c r="I25" s="54">
        <v>23</v>
      </c>
      <c r="J25" s="53">
        <v>57</v>
      </c>
      <c r="L25" s="115">
        <f t="shared" si="4"/>
        <v>21</v>
      </c>
      <c r="M25" s="113" t="s">
        <v>23</v>
      </c>
      <c r="N25" s="114">
        <f t="shared" si="0"/>
        <v>43</v>
      </c>
      <c r="O25" s="114">
        <f t="shared" si="1"/>
        <v>71.5</v>
      </c>
      <c r="Q25" s="512" t="s">
        <v>149</v>
      </c>
      <c r="R25" s="512"/>
      <c r="S25" s="512"/>
      <c r="U25" s="73">
        <f t="shared" si="5"/>
        <v>21</v>
      </c>
      <c r="V25" s="72" t="str">
        <f t="shared" si="6"/>
        <v>Rex Johnston</v>
      </c>
      <c r="W25" s="73">
        <f>W24-1</f>
        <v>25</v>
      </c>
    </row>
    <row r="26" spans="1:23">
      <c r="A26" s="49">
        <f t="shared" si="2"/>
        <v>22</v>
      </c>
      <c r="B26" s="109" t="s">
        <v>23</v>
      </c>
      <c r="C26" s="73">
        <v>54</v>
      </c>
      <c r="D26" s="99">
        <v>79</v>
      </c>
      <c r="E26" s="80" t="s">
        <v>161</v>
      </c>
      <c r="G26" s="48">
        <f t="shared" si="8"/>
        <v>4</v>
      </c>
      <c r="H26" s="72" t="s">
        <v>23</v>
      </c>
      <c r="I26" s="54">
        <v>16</v>
      </c>
      <c r="J26" s="53">
        <v>32</v>
      </c>
      <c r="L26" s="115">
        <f t="shared" si="4"/>
        <v>22</v>
      </c>
      <c r="M26" s="113" t="s">
        <v>45</v>
      </c>
      <c r="N26" s="114">
        <f t="shared" si="0"/>
        <v>36</v>
      </c>
      <c r="O26" s="114">
        <f t="shared" si="1"/>
        <v>72.5</v>
      </c>
      <c r="Q26" s="75" t="s">
        <v>151</v>
      </c>
      <c r="R26" s="75" t="s">
        <v>154</v>
      </c>
      <c r="S26" s="84" t="s">
        <v>28</v>
      </c>
      <c r="U26" s="73">
        <f t="shared" si="5"/>
        <v>22</v>
      </c>
      <c r="V26" s="72" t="str">
        <f t="shared" si="6"/>
        <v>Steffan Hiller-Ranney</v>
      </c>
      <c r="W26" s="73">
        <f t="shared" ref="W26:W30" si="9">W25-1</f>
        <v>24</v>
      </c>
    </row>
    <row r="27" spans="1:23">
      <c r="A27" s="49">
        <f t="shared" si="2"/>
        <v>23</v>
      </c>
      <c r="B27" s="109" t="s">
        <v>3</v>
      </c>
      <c r="C27" s="73">
        <v>52</v>
      </c>
      <c r="D27" s="99">
        <v>91</v>
      </c>
      <c r="E27" s="80" t="s">
        <v>162</v>
      </c>
      <c r="G27" s="48">
        <f t="shared" si="8"/>
        <v>5</v>
      </c>
      <c r="H27" s="72" t="s">
        <v>5</v>
      </c>
      <c r="I27" s="54">
        <v>15</v>
      </c>
      <c r="J27" s="53">
        <v>35</v>
      </c>
      <c r="L27" s="115">
        <f t="shared" si="4"/>
        <v>23</v>
      </c>
      <c r="M27" s="113" t="s">
        <v>3</v>
      </c>
      <c r="N27" s="114">
        <f t="shared" si="0"/>
        <v>36</v>
      </c>
      <c r="O27" s="114">
        <f t="shared" si="1"/>
        <v>80.5</v>
      </c>
      <c r="Q27" s="73">
        <v>4</v>
      </c>
      <c r="R27" s="73" t="str">
        <f>VLOOKUP(Q27,L:O,2,FALSE)</f>
        <v>Jeremy Tracey</v>
      </c>
      <c r="S27" s="73">
        <v>4</v>
      </c>
      <c r="U27" s="73">
        <f t="shared" si="5"/>
        <v>23</v>
      </c>
      <c r="V27" s="72" t="str">
        <f t="shared" si="6"/>
        <v>Fred Slater</v>
      </c>
      <c r="W27" s="73">
        <f t="shared" si="9"/>
        <v>23</v>
      </c>
    </row>
    <row r="28" spans="1:23" ht="16" thickBot="1">
      <c r="A28" s="49">
        <f t="shared" si="2"/>
        <v>24</v>
      </c>
      <c r="B28" s="109" t="s">
        <v>45</v>
      </c>
      <c r="C28" s="73">
        <v>50</v>
      </c>
      <c r="D28" s="99">
        <v>73</v>
      </c>
      <c r="E28" s="81" t="s">
        <v>163</v>
      </c>
      <c r="G28" s="48">
        <f t="shared" si="8"/>
        <v>6</v>
      </c>
      <c r="H28" s="72" t="s">
        <v>16</v>
      </c>
      <c r="I28" s="54">
        <v>15</v>
      </c>
      <c r="J28" s="53">
        <v>33</v>
      </c>
      <c r="L28" s="115">
        <f t="shared" si="4"/>
        <v>24</v>
      </c>
      <c r="M28" s="113" t="s">
        <v>49</v>
      </c>
      <c r="N28" s="114">
        <f t="shared" si="0"/>
        <v>34</v>
      </c>
      <c r="O28" s="114">
        <f t="shared" si="1"/>
        <v>59</v>
      </c>
      <c r="Q28" s="73">
        <v>3</v>
      </c>
      <c r="R28" s="73" t="str">
        <f>VLOOKUP(Q28,L:O,2,FALSE)</f>
        <v>Connor Reinman</v>
      </c>
      <c r="S28" s="73">
        <v>10</v>
      </c>
      <c r="U28" s="73">
        <f t="shared" si="5"/>
        <v>24</v>
      </c>
      <c r="V28" s="72" t="str">
        <f t="shared" si="6"/>
        <v>Daryl MacDonald</v>
      </c>
      <c r="W28" s="73">
        <f t="shared" si="9"/>
        <v>22</v>
      </c>
    </row>
    <row r="29" spans="1:23">
      <c r="A29" s="49">
        <f t="shared" si="2"/>
        <v>25</v>
      </c>
      <c r="B29" s="109" t="s">
        <v>50</v>
      </c>
      <c r="C29" s="73">
        <v>49</v>
      </c>
      <c r="D29" s="47">
        <v>92</v>
      </c>
      <c r="U29" s="73">
        <f t="shared" si="5"/>
        <v>25</v>
      </c>
      <c r="V29" s="72" t="str">
        <f>B29</f>
        <v>Jeff McKeen</v>
      </c>
      <c r="W29" s="73">
        <f t="shared" si="9"/>
        <v>21</v>
      </c>
    </row>
    <row r="30" spans="1:23" ht="16" thickBot="1">
      <c r="A30" s="49">
        <f t="shared" si="2"/>
        <v>26</v>
      </c>
      <c r="B30" s="109" t="s">
        <v>30</v>
      </c>
      <c r="C30" s="73">
        <v>49</v>
      </c>
      <c r="D30" s="47">
        <v>91</v>
      </c>
      <c r="G30" s="512" t="s">
        <v>146</v>
      </c>
      <c r="H30" s="512"/>
      <c r="I30" s="512"/>
      <c r="J30" s="512"/>
      <c r="U30" s="73">
        <f t="shared" si="5"/>
        <v>26</v>
      </c>
      <c r="V30" s="72" t="str">
        <f t="shared" ref="V30:V35" si="10">B30</f>
        <v>Peter Carter</v>
      </c>
      <c r="W30" s="73">
        <f t="shared" si="9"/>
        <v>20</v>
      </c>
    </row>
    <row r="31" spans="1:23" ht="16" thickBot="1">
      <c r="A31" s="49">
        <f t="shared" si="2"/>
        <v>27</v>
      </c>
      <c r="B31" s="109" t="s">
        <v>33</v>
      </c>
      <c r="C31" s="73">
        <v>48</v>
      </c>
      <c r="D31" s="47">
        <v>88</v>
      </c>
      <c r="G31" s="105" t="s">
        <v>9</v>
      </c>
      <c r="H31" s="106" t="s">
        <v>154</v>
      </c>
      <c r="I31" s="107" t="s">
        <v>28</v>
      </c>
      <c r="J31" s="108" t="s">
        <v>29</v>
      </c>
      <c r="U31" s="73">
        <f t="shared" si="5"/>
        <v>27</v>
      </c>
      <c r="V31" s="72" t="str">
        <f t="shared" si="10"/>
        <v>Roger Vaillancourt</v>
      </c>
      <c r="W31" s="73">
        <f>W30</f>
        <v>20</v>
      </c>
    </row>
    <row r="32" spans="1:23">
      <c r="A32" s="49">
        <f t="shared" si="2"/>
        <v>28</v>
      </c>
      <c r="B32" s="109" t="s">
        <v>124</v>
      </c>
      <c r="C32" s="73">
        <v>47</v>
      </c>
      <c r="D32" s="47">
        <v>81</v>
      </c>
      <c r="G32" s="86">
        <v>1</v>
      </c>
      <c r="H32" s="72" t="s">
        <v>109</v>
      </c>
      <c r="I32" s="87">
        <v>31</v>
      </c>
      <c r="J32" s="88">
        <v>44</v>
      </c>
      <c r="U32" s="73">
        <f t="shared" si="5"/>
        <v>28</v>
      </c>
      <c r="V32" s="72" t="str">
        <f t="shared" si="10"/>
        <v>Vuth Vann</v>
      </c>
      <c r="W32" s="73">
        <f t="shared" ref="W32:W58" si="11">W31</f>
        <v>20</v>
      </c>
    </row>
    <row r="33" spans="1:23">
      <c r="A33" s="49">
        <f t="shared" si="2"/>
        <v>29</v>
      </c>
      <c r="B33" s="109" t="s">
        <v>32</v>
      </c>
      <c r="C33" s="73">
        <v>46</v>
      </c>
      <c r="D33" s="47">
        <v>72</v>
      </c>
      <c r="G33" s="48">
        <f>G32+1</f>
        <v>2</v>
      </c>
      <c r="H33" s="72" t="s">
        <v>39</v>
      </c>
      <c r="I33" s="54">
        <v>24</v>
      </c>
      <c r="J33" s="53">
        <v>31</v>
      </c>
      <c r="U33" s="73">
        <f t="shared" si="5"/>
        <v>29</v>
      </c>
      <c r="V33" s="72" t="str">
        <f t="shared" si="10"/>
        <v>Jo-Ann Carter</v>
      </c>
      <c r="W33" s="73">
        <f t="shared" si="11"/>
        <v>20</v>
      </c>
    </row>
    <row r="34" spans="1:23">
      <c r="A34" s="49">
        <f t="shared" si="2"/>
        <v>30</v>
      </c>
      <c r="B34" s="109" t="s">
        <v>8</v>
      </c>
      <c r="C34" s="73">
        <v>46</v>
      </c>
      <c r="D34" s="47">
        <v>66</v>
      </c>
      <c r="G34" s="48">
        <f t="shared" ref="G34:G37" si="12">G33+1</f>
        <v>3</v>
      </c>
      <c r="H34" s="72" t="s">
        <v>37</v>
      </c>
      <c r="I34" s="54">
        <v>22</v>
      </c>
      <c r="J34" s="53">
        <v>38</v>
      </c>
      <c r="U34" s="73">
        <f t="shared" si="5"/>
        <v>30</v>
      </c>
      <c r="V34" s="72" t="str">
        <f t="shared" si="10"/>
        <v>Clare Kuepfer</v>
      </c>
      <c r="W34" s="73">
        <f t="shared" si="11"/>
        <v>20</v>
      </c>
    </row>
    <row r="35" spans="1:23">
      <c r="A35" s="49">
        <f t="shared" si="2"/>
        <v>31</v>
      </c>
      <c r="B35" s="109" t="s">
        <v>125</v>
      </c>
      <c r="C35" s="73">
        <v>46</v>
      </c>
      <c r="D35" s="47">
        <v>91</v>
      </c>
      <c r="G35" s="48">
        <f t="shared" si="12"/>
        <v>4</v>
      </c>
      <c r="H35" s="72" t="s">
        <v>155</v>
      </c>
      <c r="I35" s="54">
        <v>21</v>
      </c>
      <c r="J35" s="53">
        <v>30</v>
      </c>
      <c r="U35" s="73">
        <f t="shared" si="5"/>
        <v>31</v>
      </c>
      <c r="V35" s="72" t="str">
        <f t="shared" si="10"/>
        <v>Mike Beaton</v>
      </c>
      <c r="W35" s="73">
        <f t="shared" si="11"/>
        <v>20</v>
      </c>
    </row>
    <row r="36" spans="1:23">
      <c r="A36" s="49">
        <f t="shared" si="2"/>
        <v>32</v>
      </c>
      <c r="B36" s="109" t="s">
        <v>121</v>
      </c>
      <c r="C36" s="73">
        <v>46</v>
      </c>
      <c r="D36" s="47">
        <v>71</v>
      </c>
      <c r="G36" s="48">
        <f t="shared" si="12"/>
        <v>5</v>
      </c>
      <c r="H36" s="72" t="s">
        <v>46</v>
      </c>
      <c r="I36" s="54">
        <v>16</v>
      </c>
      <c r="J36" s="53">
        <v>34</v>
      </c>
      <c r="U36" s="73">
        <f t="shared" si="5"/>
        <v>32</v>
      </c>
      <c r="V36" s="72" t="str">
        <f t="shared" ref="V36:V58" si="13">B36</f>
        <v>Dan Hepburn</v>
      </c>
      <c r="W36" s="73">
        <f t="shared" si="11"/>
        <v>20</v>
      </c>
    </row>
    <row r="37" spans="1:23">
      <c r="A37" s="49">
        <f t="shared" si="2"/>
        <v>33</v>
      </c>
      <c r="B37" s="109" t="s">
        <v>47</v>
      </c>
      <c r="C37" s="73">
        <v>46</v>
      </c>
      <c r="D37" s="47">
        <v>84</v>
      </c>
      <c r="G37" s="48">
        <f t="shared" si="12"/>
        <v>6</v>
      </c>
      <c r="H37" s="72" t="s">
        <v>49</v>
      </c>
      <c r="I37" s="54">
        <v>6</v>
      </c>
      <c r="J37" s="53">
        <v>24</v>
      </c>
      <c r="U37" s="73">
        <f t="shared" si="5"/>
        <v>33</v>
      </c>
      <c r="V37" s="72" t="str">
        <f t="shared" si="13"/>
        <v>Mark Gallas</v>
      </c>
      <c r="W37" s="73">
        <f t="shared" si="11"/>
        <v>20</v>
      </c>
    </row>
    <row r="38" spans="1:23">
      <c r="A38" s="49">
        <f t="shared" si="2"/>
        <v>34</v>
      </c>
      <c r="B38" s="109" t="s">
        <v>40</v>
      </c>
      <c r="C38" s="73">
        <v>45</v>
      </c>
      <c r="D38" s="47">
        <v>85</v>
      </c>
      <c r="U38" s="73">
        <f t="shared" si="5"/>
        <v>34</v>
      </c>
      <c r="V38" s="72" t="str">
        <f t="shared" si="13"/>
        <v>Kevin Bechtel</v>
      </c>
      <c r="W38" s="73">
        <f t="shared" si="11"/>
        <v>20</v>
      </c>
    </row>
    <row r="39" spans="1:23">
      <c r="A39" s="49">
        <f t="shared" si="2"/>
        <v>35</v>
      </c>
      <c r="B39" s="109" t="s">
        <v>102</v>
      </c>
      <c r="C39" s="73">
        <v>45</v>
      </c>
      <c r="D39" s="47">
        <v>64</v>
      </c>
      <c r="U39" s="73">
        <f t="shared" si="5"/>
        <v>35</v>
      </c>
      <c r="V39" s="72" t="str">
        <f t="shared" si="13"/>
        <v>Brian Armstrong</v>
      </c>
      <c r="W39" s="73">
        <f t="shared" si="11"/>
        <v>20</v>
      </c>
    </row>
    <row r="40" spans="1:23">
      <c r="A40" s="49">
        <f t="shared" si="2"/>
        <v>36</v>
      </c>
      <c r="B40" s="109" t="s">
        <v>54</v>
      </c>
      <c r="C40" s="73">
        <v>44</v>
      </c>
      <c r="D40" s="47">
        <v>67</v>
      </c>
      <c r="U40" s="73">
        <f t="shared" si="5"/>
        <v>36</v>
      </c>
      <c r="V40" s="72" t="str">
        <f t="shared" si="13"/>
        <v>Gina Schick</v>
      </c>
      <c r="W40" s="73">
        <f t="shared" si="11"/>
        <v>20</v>
      </c>
    </row>
    <row r="41" spans="1:23">
      <c r="A41" s="49">
        <f t="shared" si="2"/>
        <v>37</v>
      </c>
      <c r="B41" s="109" t="s">
        <v>52</v>
      </c>
      <c r="C41" s="73">
        <v>42</v>
      </c>
      <c r="D41" s="47">
        <v>59</v>
      </c>
      <c r="U41" s="73">
        <f t="shared" si="5"/>
        <v>37</v>
      </c>
      <c r="V41" s="72" t="str">
        <f t="shared" si="13"/>
        <v>Mark Boot</v>
      </c>
      <c r="W41" s="73">
        <f t="shared" si="11"/>
        <v>20</v>
      </c>
    </row>
    <row r="42" spans="1:23">
      <c r="A42" s="49">
        <f t="shared" si="2"/>
        <v>38</v>
      </c>
      <c r="B42" s="109" t="s">
        <v>44</v>
      </c>
      <c r="C42" s="73">
        <v>39</v>
      </c>
      <c r="D42" s="47">
        <v>71</v>
      </c>
      <c r="U42" s="73">
        <f t="shared" si="5"/>
        <v>38</v>
      </c>
      <c r="V42" s="72" t="str">
        <f t="shared" si="13"/>
        <v>Kevin Ranney</v>
      </c>
      <c r="W42" s="73">
        <f t="shared" si="11"/>
        <v>20</v>
      </c>
    </row>
    <row r="43" spans="1:23">
      <c r="A43" s="49">
        <f t="shared" si="2"/>
        <v>39</v>
      </c>
      <c r="B43" s="109" t="s">
        <v>164</v>
      </c>
      <c r="C43" s="73">
        <v>39</v>
      </c>
      <c r="D43" s="47">
        <v>66</v>
      </c>
      <c r="U43" s="73">
        <f t="shared" si="5"/>
        <v>39</v>
      </c>
      <c r="V43" s="72" t="str">
        <f t="shared" si="13"/>
        <v>Michel Cloutier</v>
      </c>
      <c r="W43" s="73">
        <f t="shared" si="11"/>
        <v>20</v>
      </c>
    </row>
    <row r="44" spans="1:23">
      <c r="A44" s="49">
        <f t="shared" si="2"/>
        <v>40</v>
      </c>
      <c r="B44" s="109" t="s">
        <v>27</v>
      </c>
      <c r="C44" s="73">
        <v>38</v>
      </c>
      <c r="D44" s="47">
        <v>48</v>
      </c>
      <c r="U44" s="73">
        <f t="shared" si="5"/>
        <v>40</v>
      </c>
      <c r="V44" s="72" t="str">
        <f t="shared" si="13"/>
        <v>Cathy Kuepfer</v>
      </c>
      <c r="W44" s="73">
        <f t="shared" si="11"/>
        <v>20</v>
      </c>
    </row>
    <row r="45" spans="1:23">
      <c r="A45" s="49">
        <f t="shared" si="2"/>
        <v>41</v>
      </c>
      <c r="B45" s="109" t="s">
        <v>21</v>
      </c>
      <c r="C45" s="73">
        <v>38</v>
      </c>
      <c r="D45" s="47">
        <v>68</v>
      </c>
      <c r="U45" s="73">
        <f t="shared" si="5"/>
        <v>41</v>
      </c>
      <c r="V45" s="72" t="str">
        <f t="shared" si="13"/>
        <v>Dale Henry</v>
      </c>
      <c r="W45" s="73">
        <f t="shared" si="11"/>
        <v>20</v>
      </c>
    </row>
    <row r="46" spans="1:23">
      <c r="A46" s="49">
        <f t="shared" si="2"/>
        <v>42</v>
      </c>
      <c r="B46" s="109" t="s">
        <v>48</v>
      </c>
      <c r="C46" s="73">
        <v>37</v>
      </c>
      <c r="D46" s="47">
        <v>46</v>
      </c>
      <c r="U46" s="73">
        <f t="shared" si="5"/>
        <v>42</v>
      </c>
      <c r="V46" s="72" t="str">
        <f t="shared" si="13"/>
        <v>Kathi Fisher</v>
      </c>
      <c r="W46" s="73">
        <f t="shared" si="11"/>
        <v>20</v>
      </c>
    </row>
    <row r="47" spans="1:23">
      <c r="A47" s="49">
        <f t="shared" si="2"/>
        <v>43</v>
      </c>
      <c r="B47" s="109" t="s">
        <v>51</v>
      </c>
      <c r="C47" s="73">
        <v>35</v>
      </c>
      <c r="D47" s="47">
        <v>72</v>
      </c>
      <c r="U47" s="73">
        <f t="shared" si="5"/>
        <v>43</v>
      </c>
      <c r="V47" s="72" t="str">
        <f t="shared" si="13"/>
        <v>Ted Fuller</v>
      </c>
      <c r="W47" s="73">
        <f t="shared" si="11"/>
        <v>20</v>
      </c>
    </row>
    <row r="48" spans="1:23">
      <c r="A48" s="49">
        <f t="shared" si="2"/>
        <v>44</v>
      </c>
      <c r="B48" s="109" t="s">
        <v>129</v>
      </c>
      <c r="C48" s="73">
        <v>34</v>
      </c>
      <c r="D48" s="47">
        <v>56</v>
      </c>
      <c r="U48" s="73">
        <f t="shared" si="5"/>
        <v>44</v>
      </c>
      <c r="V48" s="72" t="str">
        <f t="shared" si="13"/>
        <v>Erwin Printup</v>
      </c>
      <c r="W48" s="73">
        <f t="shared" si="11"/>
        <v>20</v>
      </c>
    </row>
    <row r="49" spans="1:23">
      <c r="A49" s="49">
        <f t="shared" si="2"/>
        <v>45</v>
      </c>
      <c r="B49" s="109" t="s">
        <v>41</v>
      </c>
      <c r="C49" s="73">
        <v>28</v>
      </c>
      <c r="D49" s="47">
        <v>49</v>
      </c>
      <c r="U49" s="73">
        <f t="shared" si="5"/>
        <v>45</v>
      </c>
      <c r="V49" s="72" t="str">
        <f t="shared" si="13"/>
        <v>David Younker</v>
      </c>
      <c r="W49" s="73">
        <f t="shared" si="11"/>
        <v>20</v>
      </c>
    </row>
    <row r="50" spans="1:23">
      <c r="A50" s="49">
        <f t="shared" si="2"/>
        <v>46</v>
      </c>
      <c r="B50" s="109" t="s">
        <v>136</v>
      </c>
      <c r="C50" s="73">
        <v>27</v>
      </c>
      <c r="D50" s="47">
        <v>49</v>
      </c>
      <c r="U50" s="73">
        <f t="shared" si="5"/>
        <v>46</v>
      </c>
      <c r="V50" s="72" t="str">
        <f t="shared" si="13"/>
        <v>Nolan Bechtel</v>
      </c>
      <c r="W50" s="73">
        <f t="shared" si="11"/>
        <v>20</v>
      </c>
    </row>
    <row r="51" spans="1:23">
      <c r="A51" s="49">
        <f t="shared" si="2"/>
        <v>47</v>
      </c>
      <c r="B51" s="109" t="s">
        <v>165</v>
      </c>
      <c r="C51" s="73">
        <v>26</v>
      </c>
      <c r="D51" s="47">
        <v>48</v>
      </c>
      <c r="U51" s="73">
        <f t="shared" si="5"/>
        <v>47</v>
      </c>
      <c r="V51" s="72" t="str">
        <f t="shared" si="13"/>
        <v>Bob Carr</v>
      </c>
      <c r="W51" s="73">
        <f t="shared" si="11"/>
        <v>20</v>
      </c>
    </row>
    <row r="52" spans="1:23">
      <c r="A52" s="49">
        <f t="shared" si="2"/>
        <v>48</v>
      </c>
      <c r="B52" s="109" t="s">
        <v>31</v>
      </c>
      <c r="C52" s="73">
        <v>25</v>
      </c>
      <c r="D52" s="47">
        <v>54</v>
      </c>
      <c r="U52" s="73">
        <f t="shared" si="5"/>
        <v>48</v>
      </c>
      <c r="V52" s="72" t="str">
        <f t="shared" si="13"/>
        <v>Brian Henry</v>
      </c>
      <c r="W52" s="73">
        <f t="shared" si="11"/>
        <v>20</v>
      </c>
    </row>
    <row r="53" spans="1:23">
      <c r="A53" s="49">
        <f t="shared" si="2"/>
        <v>49</v>
      </c>
      <c r="B53" s="109" t="s">
        <v>128</v>
      </c>
      <c r="C53" s="73">
        <v>18</v>
      </c>
      <c r="D53" s="47">
        <v>38</v>
      </c>
      <c r="U53" s="73">
        <f t="shared" si="5"/>
        <v>49</v>
      </c>
      <c r="V53" s="72" t="str">
        <f t="shared" si="13"/>
        <v>Liz Weatherall</v>
      </c>
      <c r="W53" s="73">
        <f t="shared" si="11"/>
        <v>20</v>
      </c>
    </row>
    <row r="54" spans="1:23">
      <c r="A54" s="49">
        <f t="shared" si="2"/>
        <v>50</v>
      </c>
      <c r="B54" s="109" t="s">
        <v>135</v>
      </c>
      <c r="C54" s="73">
        <v>18</v>
      </c>
      <c r="D54" s="47">
        <v>30</v>
      </c>
      <c r="U54" s="73">
        <f t="shared" si="5"/>
        <v>50</v>
      </c>
      <c r="V54" s="72" t="str">
        <f t="shared" si="13"/>
        <v>Joshua Bechtel</v>
      </c>
      <c r="W54" s="73">
        <f t="shared" si="11"/>
        <v>20</v>
      </c>
    </row>
    <row r="55" spans="1:23">
      <c r="A55" s="49">
        <f t="shared" si="2"/>
        <v>51</v>
      </c>
      <c r="B55" s="109" t="s">
        <v>166</v>
      </c>
      <c r="C55" s="73">
        <v>17</v>
      </c>
      <c r="D55" s="47">
        <v>28</v>
      </c>
      <c r="U55" s="73">
        <f t="shared" si="5"/>
        <v>51</v>
      </c>
      <c r="V55" s="72" t="str">
        <f t="shared" si="13"/>
        <v>Kathleen Beaton</v>
      </c>
      <c r="W55" s="73">
        <f t="shared" si="11"/>
        <v>20</v>
      </c>
    </row>
    <row r="56" spans="1:23">
      <c r="A56" s="49">
        <f t="shared" si="2"/>
        <v>52</v>
      </c>
      <c r="B56" s="109" t="s">
        <v>167</v>
      </c>
      <c r="C56" s="73">
        <v>17</v>
      </c>
      <c r="D56" s="47">
        <v>40</v>
      </c>
      <c r="U56" s="73">
        <f t="shared" si="5"/>
        <v>52</v>
      </c>
      <c r="V56" s="72" t="str">
        <f t="shared" si="13"/>
        <v>Adrian Hoad-Reddick</v>
      </c>
      <c r="W56" s="73">
        <f t="shared" si="11"/>
        <v>20</v>
      </c>
    </row>
    <row r="57" spans="1:23">
      <c r="A57" s="49">
        <f t="shared" si="2"/>
        <v>53</v>
      </c>
      <c r="B57" s="109" t="s">
        <v>126</v>
      </c>
      <c r="C57" s="73">
        <v>15</v>
      </c>
      <c r="D57" s="47">
        <v>31</v>
      </c>
      <c r="U57" s="73">
        <f t="shared" si="5"/>
        <v>53</v>
      </c>
      <c r="V57" s="72" t="str">
        <f t="shared" si="13"/>
        <v>Dave Ortibus</v>
      </c>
      <c r="W57" s="73">
        <f t="shared" si="11"/>
        <v>20</v>
      </c>
    </row>
    <row r="58" spans="1:23" ht="16" thickBot="1">
      <c r="A58" s="51">
        <f t="shared" si="2"/>
        <v>54</v>
      </c>
      <c r="B58" s="111" t="s">
        <v>168</v>
      </c>
      <c r="C58" s="77">
        <v>8</v>
      </c>
      <c r="D58" s="50">
        <v>19</v>
      </c>
      <c r="U58" s="73">
        <f t="shared" si="5"/>
        <v>54</v>
      </c>
      <c r="V58" s="72" t="str">
        <f t="shared" si="13"/>
        <v>Connie Ortibus</v>
      </c>
      <c r="W58" s="73">
        <f t="shared" si="11"/>
        <v>20</v>
      </c>
    </row>
  </sheetData>
  <autoFilter ref="M4:O28">
    <sortState ref="M5:O28">
      <sortCondition descending="1" ref="N4:N28"/>
    </sortState>
  </autoFilter>
  <mergeCells count="11">
    <mergeCell ref="L2:O2"/>
    <mergeCell ref="A3:E3"/>
    <mergeCell ref="G3:J3"/>
    <mergeCell ref="L3:O3"/>
    <mergeCell ref="U3:W3"/>
    <mergeCell ref="G12:J12"/>
    <mergeCell ref="G21:J21"/>
    <mergeCell ref="G30:J30"/>
    <mergeCell ref="Q3:S3"/>
    <mergeCell ref="Q17:S17"/>
    <mergeCell ref="Q25:S25"/>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topLeftCell="L17" workbookViewId="0">
      <selection activeCell="T33" sqref="T3:T33"/>
    </sheetView>
  </sheetViews>
  <sheetFormatPr baseColWidth="10" defaultColWidth="15.5" defaultRowHeight="15" x14ac:dyDescent="0"/>
  <cols>
    <col min="1" max="1" width="6.5" style="118" customWidth="1"/>
    <col min="2" max="2" width="22.6640625" style="119" customWidth="1"/>
    <col min="3" max="3" width="17.5" customWidth="1"/>
    <col min="4" max="4" width="6.83203125" customWidth="1"/>
    <col min="5" max="7" width="8.83203125" style="118" customWidth="1"/>
    <col min="8" max="9" width="11.5" style="120" customWidth="1"/>
    <col min="10" max="10" width="8.5" style="121" customWidth="1"/>
    <col min="11" max="11" width="8.83203125" customWidth="1"/>
    <col min="12" max="12" width="7.33203125" customWidth="1"/>
    <col min="13" max="13" width="19.6640625" customWidth="1"/>
    <col min="14" max="14" width="17.5" customWidth="1"/>
    <col min="15" max="18" width="8.83203125" customWidth="1"/>
    <col min="19" max="19" width="16.5" customWidth="1"/>
    <col min="20" max="20" width="8.83203125" customWidth="1"/>
    <col min="21" max="21" width="18.5" customWidth="1"/>
    <col min="22" max="22" width="10" style="118" customWidth="1"/>
    <col min="23" max="23" width="11.5" customWidth="1"/>
    <col min="24" max="24" width="20.33203125" customWidth="1"/>
    <col min="25" max="25" width="23.33203125" customWidth="1"/>
    <col min="26" max="26" width="27" customWidth="1"/>
    <col min="27" max="27" width="21.5" customWidth="1"/>
    <col min="28" max="246" width="8.83203125" customWidth="1"/>
    <col min="247" max="247" width="5.1640625" customWidth="1"/>
    <col min="248" max="248" width="33.5" customWidth="1"/>
    <col min="249" max="249" width="13" customWidth="1"/>
    <col min="250" max="251" width="5.5" customWidth="1"/>
    <col min="252" max="253" width="6.83203125" customWidth="1"/>
    <col min="254" max="255" width="8.83203125" customWidth="1"/>
  </cols>
  <sheetData>
    <row r="1" spans="1:27" ht="16" thickBot="1"/>
    <row r="2" spans="1:27" ht="26" thickBot="1">
      <c r="A2" s="122" t="s">
        <v>9</v>
      </c>
      <c r="B2" s="123" t="s">
        <v>13</v>
      </c>
      <c r="C2" s="123" t="s">
        <v>185</v>
      </c>
      <c r="D2" s="124" t="s">
        <v>186</v>
      </c>
      <c r="E2" s="124" t="s">
        <v>28</v>
      </c>
      <c r="F2" s="124" t="s">
        <v>187</v>
      </c>
      <c r="G2" s="124" t="s">
        <v>188</v>
      </c>
      <c r="H2" s="124" t="s">
        <v>189</v>
      </c>
      <c r="I2" s="124" t="s">
        <v>190</v>
      </c>
      <c r="J2" s="125" t="s">
        <v>191</v>
      </c>
      <c r="L2" s="126" t="s">
        <v>9</v>
      </c>
      <c r="M2" s="127" t="s">
        <v>13</v>
      </c>
      <c r="N2" s="128" t="s">
        <v>185</v>
      </c>
      <c r="O2" s="129" t="s">
        <v>192</v>
      </c>
      <c r="P2" s="129" t="s">
        <v>28</v>
      </c>
      <c r="Q2" s="129" t="s">
        <v>187</v>
      </c>
      <c r="R2" s="130" t="s">
        <v>191</v>
      </c>
      <c r="S2" s="130" t="s">
        <v>193</v>
      </c>
      <c r="U2" s="131" t="s">
        <v>13</v>
      </c>
      <c r="V2" s="131" t="s">
        <v>15</v>
      </c>
    </row>
    <row r="3" spans="1:27" ht="19.5" customHeight="1">
      <c r="A3" s="132">
        <v>1</v>
      </c>
      <c r="B3" s="133" t="s">
        <v>36</v>
      </c>
      <c r="C3" s="134" t="s">
        <v>210</v>
      </c>
      <c r="D3" s="135">
        <v>2</v>
      </c>
      <c r="E3" s="132">
        <v>60</v>
      </c>
      <c r="F3" s="132">
        <v>84</v>
      </c>
      <c r="G3" s="132">
        <v>9</v>
      </c>
      <c r="H3" s="136">
        <v>6.666666666666667</v>
      </c>
      <c r="I3" s="136">
        <v>9.3333333333333339</v>
      </c>
      <c r="J3" s="136" t="s">
        <v>211</v>
      </c>
      <c r="L3" s="132">
        <v>1</v>
      </c>
      <c r="M3" s="137" t="s">
        <v>2</v>
      </c>
      <c r="N3" s="138" t="s">
        <v>11</v>
      </c>
      <c r="O3" s="139" t="s">
        <v>211</v>
      </c>
      <c r="P3" s="140">
        <v>51</v>
      </c>
      <c r="Q3" s="140">
        <v>100</v>
      </c>
      <c r="R3" s="141" t="s">
        <v>211</v>
      </c>
      <c r="S3" s="142" t="s">
        <v>201</v>
      </c>
      <c r="U3" s="143" t="s">
        <v>36</v>
      </c>
      <c r="V3" s="1">
        <v>50</v>
      </c>
    </row>
    <row r="4" spans="1:27" ht="19.5" customHeight="1">
      <c r="A4" s="132">
        <v>2</v>
      </c>
      <c r="B4" s="133" t="s">
        <v>4</v>
      </c>
      <c r="C4" s="134">
        <v>0</v>
      </c>
      <c r="D4" s="135">
        <v>3</v>
      </c>
      <c r="E4" s="132">
        <v>53</v>
      </c>
      <c r="F4" s="132">
        <v>83</v>
      </c>
      <c r="G4" s="132">
        <v>8</v>
      </c>
      <c r="H4" s="136">
        <v>6.625</v>
      </c>
      <c r="I4" s="136">
        <v>10.375</v>
      </c>
      <c r="J4" s="136" t="s">
        <v>211</v>
      </c>
      <c r="L4" s="132">
        <v>2</v>
      </c>
      <c r="M4" s="137" t="s">
        <v>4</v>
      </c>
      <c r="N4" s="138">
        <v>0</v>
      </c>
      <c r="O4" s="139" t="s">
        <v>211</v>
      </c>
      <c r="P4" s="140">
        <v>51</v>
      </c>
      <c r="Q4" s="140">
        <v>92</v>
      </c>
      <c r="R4" s="141" t="s">
        <v>211</v>
      </c>
      <c r="S4" s="142" t="s">
        <v>201</v>
      </c>
      <c r="U4" s="143" t="str">
        <f>M4</f>
        <v>Nathan Walsh</v>
      </c>
      <c r="V4" s="1">
        <v>47</v>
      </c>
    </row>
    <row r="5" spans="1:27" ht="19.5" customHeight="1">
      <c r="A5" s="132">
        <v>3</v>
      </c>
      <c r="B5" s="133" t="s">
        <v>2</v>
      </c>
      <c r="C5" s="134" t="s">
        <v>11</v>
      </c>
      <c r="D5" s="135">
        <v>3</v>
      </c>
      <c r="E5" s="132">
        <v>49</v>
      </c>
      <c r="F5" s="132">
        <v>98</v>
      </c>
      <c r="G5" s="132">
        <v>8</v>
      </c>
      <c r="H5" s="136">
        <v>6.125</v>
      </c>
      <c r="I5" s="136">
        <v>12.25</v>
      </c>
      <c r="J5" s="136" t="s">
        <v>211</v>
      </c>
      <c r="L5" s="132">
        <v>3</v>
      </c>
      <c r="M5" s="137" t="s">
        <v>36</v>
      </c>
      <c r="N5" s="138" t="s">
        <v>210</v>
      </c>
      <c r="O5" s="139" t="s">
        <v>211</v>
      </c>
      <c r="P5" s="140">
        <v>49</v>
      </c>
      <c r="Q5" s="140">
        <v>81</v>
      </c>
      <c r="R5" s="141" t="s">
        <v>211</v>
      </c>
      <c r="S5" s="142" t="s">
        <v>201</v>
      </c>
      <c r="U5" s="143" t="s">
        <v>2</v>
      </c>
      <c r="V5" s="1">
        <v>45</v>
      </c>
    </row>
    <row r="6" spans="1:27" ht="19.5" customHeight="1">
      <c r="A6" s="132">
        <v>4</v>
      </c>
      <c r="B6" s="133" t="s">
        <v>35</v>
      </c>
      <c r="C6" s="134" t="s">
        <v>181</v>
      </c>
      <c r="D6" s="135">
        <v>1</v>
      </c>
      <c r="E6" s="132">
        <v>55</v>
      </c>
      <c r="F6" s="132">
        <v>78</v>
      </c>
      <c r="G6" s="132">
        <v>9</v>
      </c>
      <c r="H6" s="136">
        <v>6.1111111111111107</v>
      </c>
      <c r="I6" s="136">
        <v>8.6666666666666661</v>
      </c>
      <c r="J6" s="136" t="s">
        <v>211</v>
      </c>
      <c r="L6" s="132">
        <v>4</v>
      </c>
      <c r="M6" s="137" t="s">
        <v>35</v>
      </c>
      <c r="N6" s="138" t="s">
        <v>210</v>
      </c>
      <c r="O6" s="139" t="s">
        <v>211</v>
      </c>
      <c r="P6" s="140">
        <v>44</v>
      </c>
      <c r="Q6" s="140">
        <v>98</v>
      </c>
      <c r="R6" s="141" t="s">
        <v>211</v>
      </c>
      <c r="S6" s="142" t="s">
        <v>201</v>
      </c>
      <c r="U6" s="143" t="str">
        <f t="shared" ref="U6:U13" si="0">M6</f>
        <v>Jeremy Tracey</v>
      </c>
      <c r="V6" s="1">
        <v>43</v>
      </c>
    </row>
    <row r="7" spans="1:27" ht="19.5" customHeight="1">
      <c r="A7" s="132">
        <v>5</v>
      </c>
      <c r="B7" s="133" t="s">
        <v>5</v>
      </c>
      <c r="C7" s="134" t="s">
        <v>210</v>
      </c>
      <c r="D7" s="135">
        <v>1</v>
      </c>
      <c r="E7" s="132">
        <v>52</v>
      </c>
      <c r="F7" s="132">
        <v>73</v>
      </c>
      <c r="G7" s="132">
        <v>9</v>
      </c>
      <c r="H7" s="136">
        <v>5.7777777777777777</v>
      </c>
      <c r="I7" s="136">
        <v>8.1111111111111107</v>
      </c>
      <c r="J7" s="136" t="s">
        <v>211</v>
      </c>
      <c r="L7" s="132">
        <v>5</v>
      </c>
      <c r="M7" s="137" t="s">
        <v>5</v>
      </c>
      <c r="N7" s="138" t="s">
        <v>181</v>
      </c>
      <c r="O7" s="139" t="s">
        <v>211</v>
      </c>
      <c r="P7" s="140">
        <v>44</v>
      </c>
      <c r="Q7" s="140">
        <v>103</v>
      </c>
      <c r="R7" s="141" t="s">
        <v>211</v>
      </c>
      <c r="S7" s="142" t="s">
        <v>182</v>
      </c>
      <c r="U7" s="143" t="str">
        <f t="shared" si="0"/>
        <v>Jason Beierling</v>
      </c>
      <c r="V7" s="1">
        <v>41</v>
      </c>
    </row>
    <row r="8" spans="1:27" ht="19.5" customHeight="1" thickBot="1">
      <c r="A8" s="132">
        <v>6</v>
      </c>
      <c r="B8" s="133" t="s">
        <v>105</v>
      </c>
      <c r="C8" s="134">
        <v>0</v>
      </c>
      <c r="D8" s="135">
        <v>2</v>
      </c>
      <c r="E8" s="132">
        <v>51</v>
      </c>
      <c r="F8" s="132">
        <v>70</v>
      </c>
      <c r="G8" s="132">
        <v>9</v>
      </c>
      <c r="H8" s="136">
        <v>5.666666666666667</v>
      </c>
      <c r="I8" s="136">
        <v>7.7777777777777777</v>
      </c>
      <c r="J8" s="136" t="s">
        <v>211</v>
      </c>
      <c r="L8" s="132">
        <v>6</v>
      </c>
      <c r="M8" s="137" t="s">
        <v>42</v>
      </c>
      <c r="N8" s="138" t="s">
        <v>210</v>
      </c>
      <c r="O8" s="139" t="s">
        <v>211</v>
      </c>
      <c r="P8" s="140">
        <v>42</v>
      </c>
      <c r="Q8" s="140">
        <v>90</v>
      </c>
      <c r="R8" s="141" t="s">
        <v>211</v>
      </c>
      <c r="S8" s="142" t="s">
        <v>182</v>
      </c>
      <c r="U8" s="143" t="str">
        <f t="shared" si="0"/>
        <v>Ron Langill</v>
      </c>
      <c r="V8" s="1">
        <v>40</v>
      </c>
    </row>
    <row r="9" spans="1:27" ht="19.5" customHeight="1" thickBot="1">
      <c r="A9" s="132">
        <v>7</v>
      </c>
      <c r="B9" s="133" t="s">
        <v>30</v>
      </c>
      <c r="C9" s="134">
        <v>0</v>
      </c>
      <c r="D9" s="135">
        <v>1</v>
      </c>
      <c r="E9" s="132">
        <v>49</v>
      </c>
      <c r="F9" s="132">
        <v>70</v>
      </c>
      <c r="G9" s="132">
        <v>9</v>
      </c>
      <c r="H9" s="136">
        <v>5.4444444444444446</v>
      </c>
      <c r="I9" s="136">
        <v>7.7777777777777777</v>
      </c>
      <c r="J9" s="136" t="s">
        <v>211</v>
      </c>
      <c r="L9" s="132">
        <v>7</v>
      </c>
      <c r="M9" s="137" t="s">
        <v>105</v>
      </c>
      <c r="N9" s="138" t="s">
        <v>212</v>
      </c>
      <c r="O9" s="139" t="s">
        <v>211</v>
      </c>
      <c r="P9" s="140">
        <v>39</v>
      </c>
      <c r="Q9" s="140">
        <v>84</v>
      </c>
      <c r="R9" s="141" t="s">
        <v>211</v>
      </c>
      <c r="S9" s="142" t="s">
        <v>182</v>
      </c>
      <c r="U9" s="143" t="str">
        <f t="shared" si="0"/>
        <v>Simon Dowrick</v>
      </c>
      <c r="V9" s="1">
        <v>39</v>
      </c>
      <c r="X9" s="144" t="s">
        <v>194</v>
      </c>
      <c r="Y9" s="145" t="s">
        <v>195</v>
      </c>
      <c r="Z9" s="146" t="s">
        <v>196</v>
      </c>
      <c r="AA9" s="147" t="s">
        <v>197</v>
      </c>
    </row>
    <row r="10" spans="1:27" ht="19.5" customHeight="1">
      <c r="A10" s="132">
        <v>8</v>
      </c>
      <c r="B10" s="133" t="s">
        <v>7</v>
      </c>
      <c r="C10" s="134" t="s">
        <v>212</v>
      </c>
      <c r="D10" s="135">
        <v>3</v>
      </c>
      <c r="E10" s="132">
        <v>38</v>
      </c>
      <c r="F10" s="132">
        <v>56</v>
      </c>
      <c r="G10" s="132">
        <v>8</v>
      </c>
      <c r="H10" s="136">
        <v>4.75</v>
      </c>
      <c r="I10" s="136">
        <v>7</v>
      </c>
      <c r="J10" s="136" t="s">
        <v>211</v>
      </c>
      <c r="L10" s="132">
        <v>8</v>
      </c>
      <c r="M10" s="137" t="s">
        <v>7</v>
      </c>
      <c r="N10" s="138">
        <v>0</v>
      </c>
      <c r="O10" s="139" t="s">
        <v>211</v>
      </c>
      <c r="P10" s="140">
        <v>39</v>
      </c>
      <c r="Q10" s="140">
        <v>75</v>
      </c>
      <c r="R10" s="141" t="s">
        <v>211</v>
      </c>
      <c r="S10" s="142" t="s">
        <v>182</v>
      </c>
      <c r="U10" s="143" t="str">
        <f t="shared" si="0"/>
        <v>Eric Miltenburg</v>
      </c>
      <c r="V10" s="1">
        <v>38</v>
      </c>
      <c r="X10" s="148" t="s">
        <v>198</v>
      </c>
      <c r="Y10" s="149" t="s">
        <v>36</v>
      </c>
      <c r="Z10" s="150" t="s">
        <v>3</v>
      </c>
      <c r="AA10" s="151" t="s">
        <v>206</v>
      </c>
    </row>
    <row r="11" spans="1:27" ht="19.5" customHeight="1">
      <c r="A11" s="132">
        <v>9</v>
      </c>
      <c r="B11" s="133" t="s">
        <v>42</v>
      </c>
      <c r="C11" s="134" t="s">
        <v>210</v>
      </c>
      <c r="D11" s="135">
        <v>2</v>
      </c>
      <c r="E11" s="132">
        <v>41</v>
      </c>
      <c r="F11" s="132">
        <v>84</v>
      </c>
      <c r="G11" s="132">
        <v>9</v>
      </c>
      <c r="H11" s="136">
        <v>4.5555555555555554</v>
      </c>
      <c r="I11" s="136">
        <v>9.3333333333333339</v>
      </c>
      <c r="J11" s="136" t="s">
        <v>211</v>
      </c>
      <c r="L11" s="132">
        <v>9</v>
      </c>
      <c r="M11" s="137" t="s">
        <v>213</v>
      </c>
      <c r="N11" s="138" t="s">
        <v>212</v>
      </c>
      <c r="O11" s="139" t="s">
        <v>211</v>
      </c>
      <c r="P11" s="140">
        <v>29</v>
      </c>
      <c r="Q11" s="140">
        <v>76</v>
      </c>
      <c r="R11" s="141" t="s">
        <v>211</v>
      </c>
      <c r="S11" s="142" t="s">
        <v>182</v>
      </c>
      <c r="U11" s="143" t="str">
        <f t="shared" si="0"/>
        <v>Matt Brown</v>
      </c>
      <c r="V11" s="1">
        <v>37</v>
      </c>
      <c r="X11" s="152" t="s">
        <v>200</v>
      </c>
      <c r="Y11" s="153" t="s">
        <v>4</v>
      </c>
      <c r="Z11" s="154" t="s">
        <v>202</v>
      </c>
      <c r="AA11" s="155" t="s">
        <v>222</v>
      </c>
    </row>
    <row r="12" spans="1:27" ht="19.5" customHeight="1">
      <c r="A12" s="132">
        <v>10</v>
      </c>
      <c r="B12" s="133" t="s">
        <v>205</v>
      </c>
      <c r="C12" s="134">
        <v>0</v>
      </c>
      <c r="D12" s="135">
        <v>2</v>
      </c>
      <c r="E12" s="132">
        <v>40</v>
      </c>
      <c r="F12" s="132">
        <v>58</v>
      </c>
      <c r="G12" s="132">
        <v>9</v>
      </c>
      <c r="H12" s="136">
        <v>4.4444444444444446</v>
      </c>
      <c r="I12" s="136">
        <v>6.4444444444444446</v>
      </c>
      <c r="J12" s="136" t="s">
        <v>211</v>
      </c>
      <c r="L12" s="132">
        <v>10</v>
      </c>
      <c r="M12" s="137" t="s">
        <v>205</v>
      </c>
      <c r="N12" s="138">
        <v>0</v>
      </c>
      <c r="O12" s="139" t="s">
        <v>211</v>
      </c>
      <c r="P12" s="140">
        <v>26</v>
      </c>
      <c r="Q12" s="140">
        <v>68</v>
      </c>
      <c r="R12" s="141" t="s">
        <v>211</v>
      </c>
      <c r="S12" s="142" t="s">
        <v>182</v>
      </c>
      <c r="U12" s="143" t="str">
        <f t="shared" si="0"/>
        <v>Wayne Scott</v>
      </c>
      <c r="V12" s="1">
        <v>36</v>
      </c>
      <c r="X12" s="152" t="s">
        <v>201</v>
      </c>
      <c r="Y12" s="153" t="s">
        <v>2</v>
      </c>
      <c r="Z12" s="154" t="s">
        <v>217</v>
      </c>
      <c r="AA12" s="155" t="s">
        <v>207</v>
      </c>
    </row>
    <row r="13" spans="1:27" ht="19.5" customHeight="1" thickBot="1">
      <c r="A13" s="132">
        <v>11</v>
      </c>
      <c r="B13" s="133" t="s">
        <v>213</v>
      </c>
      <c r="C13" s="134" t="s">
        <v>212</v>
      </c>
      <c r="D13" s="135">
        <v>2</v>
      </c>
      <c r="E13" s="132">
        <v>40</v>
      </c>
      <c r="F13" s="132">
        <v>64</v>
      </c>
      <c r="G13" s="132">
        <v>9</v>
      </c>
      <c r="H13" s="136">
        <v>4.4444444444444446</v>
      </c>
      <c r="I13" s="136">
        <v>3.8888888888888888</v>
      </c>
      <c r="J13" s="136" t="s">
        <v>211</v>
      </c>
      <c r="L13" s="132">
        <v>11</v>
      </c>
      <c r="M13" s="137" t="s">
        <v>30</v>
      </c>
      <c r="N13" s="138">
        <v>0</v>
      </c>
      <c r="O13" s="139" t="s">
        <v>211</v>
      </c>
      <c r="P13" s="140">
        <v>26</v>
      </c>
      <c r="Q13" s="140">
        <v>68</v>
      </c>
      <c r="R13" s="141" t="s">
        <v>211</v>
      </c>
      <c r="S13" s="142" t="s">
        <v>182</v>
      </c>
      <c r="U13" s="143" t="str">
        <f t="shared" si="0"/>
        <v>Peter Carter</v>
      </c>
      <c r="V13" s="1">
        <v>35</v>
      </c>
      <c r="X13" s="156" t="s">
        <v>201</v>
      </c>
      <c r="Y13" s="157" t="s">
        <v>35</v>
      </c>
      <c r="Z13" s="158" t="s">
        <v>8</v>
      </c>
      <c r="AA13" s="159" t="s">
        <v>27</v>
      </c>
    </row>
    <row r="14" spans="1:27" ht="19.5" customHeight="1">
      <c r="A14" s="132">
        <v>12</v>
      </c>
      <c r="B14" s="133" t="s">
        <v>8</v>
      </c>
      <c r="C14" s="134">
        <v>0</v>
      </c>
      <c r="D14" s="135">
        <v>1</v>
      </c>
      <c r="E14" s="132">
        <v>39</v>
      </c>
      <c r="F14" s="132">
        <v>53</v>
      </c>
      <c r="G14" s="132">
        <v>9</v>
      </c>
      <c r="H14" s="136">
        <v>4.333333333333333</v>
      </c>
      <c r="I14" s="136">
        <v>5.8888888888888893</v>
      </c>
      <c r="J14" s="136" t="s">
        <v>214</v>
      </c>
      <c r="L14" s="132">
        <v>1</v>
      </c>
      <c r="M14" s="137" t="s">
        <v>202</v>
      </c>
      <c r="N14" s="138" t="s">
        <v>212</v>
      </c>
      <c r="O14" s="139" t="s">
        <v>214</v>
      </c>
      <c r="P14" s="140">
        <v>51</v>
      </c>
      <c r="Q14" s="140">
        <v>58</v>
      </c>
      <c r="R14" s="141" t="s">
        <v>214</v>
      </c>
      <c r="S14" s="142" t="s">
        <v>201</v>
      </c>
      <c r="U14" s="143" t="str">
        <f>Z10</f>
        <v>Fred Slater</v>
      </c>
      <c r="V14" s="1">
        <f>34+2</f>
        <v>36</v>
      </c>
      <c r="W14" s="186" t="s">
        <v>227</v>
      </c>
      <c r="X14" s="118"/>
    </row>
    <row r="15" spans="1:27" ht="19.5" customHeight="1">
      <c r="A15" s="132">
        <v>13</v>
      </c>
      <c r="B15" s="133" t="s">
        <v>3</v>
      </c>
      <c r="C15" s="134" t="s">
        <v>181</v>
      </c>
      <c r="D15" s="135">
        <v>2</v>
      </c>
      <c r="E15" s="132">
        <v>38</v>
      </c>
      <c r="F15" s="132">
        <v>70</v>
      </c>
      <c r="G15" s="132">
        <v>9</v>
      </c>
      <c r="H15" s="136">
        <v>4.2222222222222223</v>
      </c>
      <c r="I15" s="136">
        <v>7.7777777777777777</v>
      </c>
      <c r="J15" s="136" t="s">
        <v>214</v>
      </c>
      <c r="L15" s="132">
        <v>2</v>
      </c>
      <c r="M15" s="137" t="s">
        <v>3</v>
      </c>
      <c r="N15" s="138" t="s">
        <v>181</v>
      </c>
      <c r="O15" s="139" t="s">
        <v>214</v>
      </c>
      <c r="P15" s="140">
        <v>42</v>
      </c>
      <c r="Q15" s="140">
        <v>49</v>
      </c>
      <c r="R15" s="141" t="s">
        <v>214</v>
      </c>
      <c r="S15" s="142" t="s">
        <v>201</v>
      </c>
      <c r="U15" s="143" t="str">
        <f>Z11</f>
        <v>Chris Gorsline</v>
      </c>
      <c r="V15" s="1">
        <f>33+1</f>
        <v>34</v>
      </c>
      <c r="W15" s="186" t="s">
        <v>228</v>
      </c>
      <c r="X15" s="118"/>
      <c r="Z15" s="160"/>
    </row>
    <row r="16" spans="1:27" ht="19.5" customHeight="1" thickBot="1">
      <c r="A16" s="132">
        <v>14</v>
      </c>
      <c r="B16" s="133" t="s">
        <v>215</v>
      </c>
      <c r="C16" s="134">
        <v>0</v>
      </c>
      <c r="D16" s="135">
        <v>3</v>
      </c>
      <c r="E16" s="132">
        <v>32</v>
      </c>
      <c r="F16" s="132">
        <v>40</v>
      </c>
      <c r="G16" s="132">
        <v>8</v>
      </c>
      <c r="H16" s="136">
        <v>4</v>
      </c>
      <c r="I16" s="136">
        <v>5</v>
      </c>
      <c r="J16" s="136" t="s">
        <v>214</v>
      </c>
      <c r="L16" s="132">
        <v>3</v>
      </c>
      <c r="M16" s="137" t="s">
        <v>217</v>
      </c>
      <c r="N16" s="138">
        <v>0</v>
      </c>
      <c r="O16" s="139" t="s">
        <v>214</v>
      </c>
      <c r="P16" s="140">
        <v>39</v>
      </c>
      <c r="Q16" s="140">
        <v>59</v>
      </c>
      <c r="R16" s="141" t="s">
        <v>214</v>
      </c>
      <c r="S16" s="142" t="s">
        <v>201</v>
      </c>
      <c r="U16" s="143" t="str">
        <f t="shared" ref="U16:U33" si="1">M16</f>
        <v>Philip Ware</v>
      </c>
      <c r="V16" s="1">
        <v>32</v>
      </c>
      <c r="W16" s="160"/>
      <c r="X16" s="118"/>
    </row>
    <row r="17" spans="1:26" ht="18" thickBot="1">
      <c r="A17" s="132">
        <v>15</v>
      </c>
      <c r="B17" s="133" t="s">
        <v>202</v>
      </c>
      <c r="C17" s="134" t="s">
        <v>212</v>
      </c>
      <c r="D17" s="135">
        <v>1</v>
      </c>
      <c r="E17" s="132">
        <v>35</v>
      </c>
      <c r="F17" s="132">
        <v>53</v>
      </c>
      <c r="G17" s="132">
        <v>9</v>
      </c>
      <c r="H17" s="136">
        <v>3.8888888888888888</v>
      </c>
      <c r="I17" s="136">
        <v>5.8888888888888893</v>
      </c>
      <c r="J17" s="136" t="s">
        <v>214</v>
      </c>
      <c r="L17" s="132">
        <v>4</v>
      </c>
      <c r="M17" s="137" t="s">
        <v>8</v>
      </c>
      <c r="N17" s="138">
        <v>0</v>
      </c>
      <c r="O17" s="139" t="s">
        <v>214</v>
      </c>
      <c r="P17" s="140">
        <v>37</v>
      </c>
      <c r="Q17" s="140">
        <v>66</v>
      </c>
      <c r="R17" s="141" t="s">
        <v>214</v>
      </c>
      <c r="S17" s="142" t="s">
        <v>201</v>
      </c>
      <c r="U17" s="143" t="str">
        <f t="shared" si="1"/>
        <v>Clare Kuepfer</v>
      </c>
      <c r="V17" s="1">
        <v>31</v>
      </c>
      <c r="W17" s="160"/>
      <c r="X17" s="161" t="s">
        <v>203</v>
      </c>
      <c r="Y17" s="162"/>
      <c r="Z17" s="163" t="s">
        <v>32</v>
      </c>
    </row>
    <row r="18" spans="1:26" ht="18" thickBot="1">
      <c r="A18" s="132">
        <v>16</v>
      </c>
      <c r="B18" s="133" t="s">
        <v>155</v>
      </c>
      <c r="C18" s="134">
        <v>0</v>
      </c>
      <c r="D18" s="135">
        <v>1</v>
      </c>
      <c r="E18" s="132">
        <v>33</v>
      </c>
      <c r="F18" s="132">
        <v>52</v>
      </c>
      <c r="G18" s="132">
        <v>9</v>
      </c>
      <c r="H18" s="136">
        <v>3.6666666666666665</v>
      </c>
      <c r="I18" s="136">
        <v>5.7777777777777777</v>
      </c>
      <c r="J18" s="136" t="s">
        <v>214</v>
      </c>
      <c r="L18" s="132">
        <v>5</v>
      </c>
      <c r="M18" s="137" t="s">
        <v>215</v>
      </c>
      <c r="N18" s="138">
        <v>0</v>
      </c>
      <c r="O18" s="139" t="s">
        <v>214</v>
      </c>
      <c r="P18" s="140">
        <v>37</v>
      </c>
      <c r="Q18" s="140">
        <v>55</v>
      </c>
      <c r="R18" s="141" t="s">
        <v>214</v>
      </c>
      <c r="S18" s="142" t="s">
        <v>182</v>
      </c>
      <c r="U18" s="143" t="str">
        <f t="shared" si="1"/>
        <v>Winson Annable</v>
      </c>
      <c r="V18" s="1">
        <v>30</v>
      </c>
      <c r="X18" s="164"/>
      <c r="Y18" s="165"/>
      <c r="Z18" s="165"/>
    </row>
    <row r="19" spans="1:26" ht="18" thickBot="1">
      <c r="A19" s="132">
        <v>17</v>
      </c>
      <c r="B19" s="133" t="s">
        <v>216</v>
      </c>
      <c r="C19" s="134">
        <v>0</v>
      </c>
      <c r="D19" s="135">
        <v>3</v>
      </c>
      <c r="E19" s="132">
        <v>29</v>
      </c>
      <c r="F19" s="132">
        <v>60</v>
      </c>
      <c r="G19" s="132">
        <v>8</v>
      </c>
      <c r="H19" s="136">
        <v>3.625</v>
      </c>
      <c r="I19" s="136">
        <v>7.5</v>
      </c>
      <c r="J19" s="136" t="s">
        <v>214</v>
      </c>
      <c r="L19" s="132">
        <v>6</v>
      </c>
      <c r="M19" s="137" t="s">
        <v>216</v>
      </c>
      <c r="N19" s="138">
        <v>0</v>
      </c>
      <c r="O19" s="139" t="s">
        <v>214</v>
      </c>
      <c r="P19" s="140">
        <v>36</v>
      </c>
      <c r="Q19" s="140">
        <v>46</v>
      </c>
      <c r="R19" s="141" t="s">
        <v>214</v>
      </c>
      <c r="S19" s="142" t="s">
        <v>182</v>
      </c>
      <c r="U19" s="143" t="str">
        <f t="shared" si="1"/>
        <v>Bob Leggatt</v>
      </c>
      <c r="V19" s="1">
        <v>29</v>
      </c>
      <c r="X19" s="161" t="s">
        <v>204</v>
      </c>
      <c r="Y19" s="162"/>
      <c r="Z19" s="163" t="s">
        <v>226</v>
      </c>
    </row>
    <row r="20" spans="1:26">
      <c r="A20" s="132">
        <v>18</v>
      </c>
      <c r="B20" s="133" t="s">
        <v>217</v>
      </c>
      <c r="C20" s="134">
        <v>0</v>
      </c>
      <c r="D20" s="135">
        <v>2</v>
      </c>
      <c r="E20" s="132">
        <v>29</v>
      </c>
      <c r="F20" s="132">
        <v>55</v>
      </c>
      <c r="G20" s="132">
        <v>9</v>
      </c>
      <c r="H20" s="136">
        <v>3.2222222222222223</v>
      </c>
      <c r="I20" s="136">
        <v>6.1111111111111107</v>
      </c>
      <c r="J20" s="136" t="s">
        <v>214</v>
      </c>
      <c r="L20" s="132">
        <v>7</v>
      </c>
      <c r="M20" s="137" t="s">
        <v>155</v>
      </c>
      <c r="N20" s="138">
        <v>0</v>
      </c>
      <c r="O20" s="139" t="s">
        <v>214</v>
      </c>
      <c r="P20" s="140">
        <v>35</v>
      </c>
      <c r="Q20" s="140">
        <v>64</v>
      </c>
      <c r="R20" s="141" t="s">
        <v>214</v>
      </c>
      <c r="S20" s="142" t="s">
        <v>182</v>
      </c>
      <c r="U20" s="143" t="str">
        <f t="shared" si="1"/>
        <v>Kris Flossbach</v>
      </c>
      <c r="V20" s="1">
        <v>28</v>
      </c>
    </row>
    <row r="21" spans="1:26">
      <c r="A21" s="132">
        <v>19</v>
      </c>
      <c r="B21" s="133" t="s">
        <v>218</v>
      </c>
      <c r="C21" s="134" t="s">
        <v>219</v>
      </c>
      <c r="D21" s="135">
        <v>1</v>
      </c>
      <c r="E21" s="132">
        <v>29</v>
      </c>
      <c r="F21" s="132">
        <v>34</v>
      </c>
      <c r="G21" s="132">
        <v>9</v>
      </c>
      <c r="H21" s="136">
        <v>3.2222222222222223</v>
      </c>
      <c r="I21" s="136">
        <v>3.7777777777777777</v>
      </c>
      <c r="J21" s="136" t="s">
        <v>214</v>
      </c>
      <c r="L21" s="132">
        <v>8</v>
      </c>
      <c r="M21" s="137" t="s">
        <v>32</v>
      </c>
      <c r="N21" s="138">
        <v>0</v>
      </c>
      <c r="O21" s="139" t="s">
        <v>214</v>
      </c>
      <c r="P21" s="140">
        <v>30</v>
      </c>
      <c r="Q21" s="140">
        <v>34</v>
      </c>
      <c r="R21" s="141" t="s">
        <v>214</v>
      </c>
      <c r="S21" s="142" t="s">
        <v>182</v>
      </c>
      <c r="U21" s="143" t="str">
        <f t="shared" si="1"/>
        <v>Jo-Ann Carter</v>
      </c>
      <c r="V21" s="1">
        <v>27</v>
      </c>
    </row>
    <row r="22" spans="1:26">
      <c r="A22" s="132">
        <v>20</v>
      </c>
      <c r="B22" s="133" t="s">
        <v>32</v>
      </c>
      <c r="C22" s="134">
        <v>0</v>
      </c>
      <c r="D22" s="135">
        <v>3</v>
      </c>
      <c r="E22" s="132">
        <v>24</v>
      </c>
      <c r="F22" s="132">
        <v>67</v>
      </c>
      <c r="G22" s="132">
        <v>8</v>
      </c>
      <c r="H22" s="136">
        <v>3</v>
      </c>
      <c r="I22" s="136">
        <v>8.375</v>
      </c>
      <c r="J22" s="136" t="s">
        <v>214</v>
      </c>
      <c r="L22" s="132">
        <v>9</v>
      </c>
      <c r="M22" s="137" t="s">
        <v>209</v>
      </c>
      <c r="N22" s="138" t="s">
        <v>212</v>
      </c>
      <c r="O22" s="139" t="s">
        <v>214</v>
      </c>
      <c r="P22" s="140">
        <v>28</v>
      </c>
      <c r="Q22" s="140">
        <v>56</v>
      </c>
      <c r="R22" s="141" t="s">
        <v>214</v>
      </c>
      <c r="S22" s="142" t="s">
        <v>182</v>
      </c>
      <c r="U22" s="143" t="str">
        <f t="shared" si="1"/>
        <v>Ron Hebden</v>
      </c>
      <c r="V22" s="1">
        <v>26</v>
      </c>
    </row>
    <row r="23" spans="1:26">
      <c r="A23" s="132">
        <v>21</v>
      </c>
      <c r="B23" s="133" t="s">
        <v>209</v>
      </c>
      <c r="C23" s="134" t="s">
        <v>212</v>
      </c>
      <c r="D23" s="135">
        <v>3</v>
      </c>
      <c r="E23" s="132">
        <v>24</v>
      </c>
      <c r="F23" s="132">
        <v>58</v>
      </c>
      <c r="G23" s="132">
        <v>8</v>
      </c>
      <c r="H23" s="136">
        <v>3</v>
      </c>
      <c r="I23" s="136">
        <v>7.25</v>
      </c>
      <c r="J23" s="136" t="s">
        <v>214</v>
      </c>
      <c r="L23" s="132">
        <v>10</v>
      </c>
      <c r="M23" s="137" t="s">
        <v>218</v>
      </c>
      <c r="N23" s="138" t="s">
        <v>219</v>
      </c>
      <c r="O23" s="139" t="s">
        <v>214</v>
      </c>
      <c r="P23" s="140">
        <v>27</v>
      </c>
      <c r="Q23" s="140">
        <v>37</v>
      </c>
      <c r="R23" s="141" t="s">
        <v>214</v>
      </c>
      <c r="S23" s="142" t="s">
        <v>182</v>
      </c>
      <c r="U23" s="143" t="str">
        <f t="shared" si="1"/>
        <v>Doug Sheppard</v>
      </c>
      <c r="V23" s="1">
        <v>25</v>
      </c>
    </row>
    <row r="24" spans="1:26">
      <c r="A24" s="132">
        <v>22</v>
      </c>
      <c r="B24" s="133" t="s">
        <v>206</v>
      </c>
      <c r="C24" s="134" t="s">
        <v>212</v>
      </c>
      <c r="D24" s="135">
        <v>1</v>
      </c>
      <c r="E24" s="132">
        <v>24</v>
      </c>
      <c r="F24" s="132">
        <v>47</v>
      </c>
      <c r="G24" s="132">
        <v>9</v>
      </c>
      <c r="H24" s="136">
        <v>2.6666666666666665</v>
      </c>
      <c r="I24" s="136">
        <v>5.2222222222222223</v>
      </c>
      <c r="J24" s="136" t="s">
        <v>220</v>
      </c>
      <c r="L24" s="132">
        <v>1</v>
      </c>
      <c r="M24" s="137" t="s">
        <v>206</v>
      </c>
      <c r="N24" s="138" t="s">
        <v>212</v>
      </c>
      <c r="O24" s="139" t="s">
        <v>220</v>
      </c>
      <c r="P24" s="140">
        <v>34</v>
      </c>
      <c r="Q24" s="140">
        <v>44</v>
      </c>
      <c r="R24" s="141" t="s">
        <v>220</v>
      </c>
      <c r="S24" s="142" t="s">
        <v>201</v>
      </c>
      <c r="U24" s="143" t="str">
        <f t="shared" si="1"/>
        <v>Shirley Sager</v>
      </c>
      <c r="V24" s="1">
        <f>24+2</f>
        <v>26</v>
      </c>
      <c r="W24" s="186" t="s">
        <v>227</v>
      </c>
    </row>
    <row r="25" spans="1:26">
      <c r="A25" s="132">
        <v>23</v>
      </c>
      <c r="B25" s="133" t="s">
        <v>207</v>
      </c>
      <c r="C25" s="134" t="s">
        <v>212</v>
      </c>
      <c r="D25" s="135">
        <v>3</v>
      </c>
      <c r="E25" s="132">
        <v>21</v>
      </c>
      <c r="F25" s="132">
        <v>41</v>
      </c>
      <c r="G25" s="132">
        <v>8</v>
      </c>
      <c r="H25" s="136">
        <v>2.625</v>
      </c>
      <c r="I25" s="136">
        <v>5.125</v>
      </c>
      <c r="J25" s="136" t="s">
        <v>220</v>
      </c>
      <c r="L25" s="132">
        <v>2</v>
      </c>
      <c r="M25" s="137" t="s">
        <v>222</v>
      </c>
      <c r="N25" s="138">
        <v>0</v>
      </c>
      <c r="O25" s="139" t="s">
        <v>220</v>
      </c>
      <c r="P25" s="140">
        <v>33</v>
      </c>
      <c r="Q25" s="140">
        <v>43</v>
      </c>
      <c r="R25" s="141" t="s">
        <v>220</v>
      </c>
      <c r="S25" s="142" t="s">
        <v>201</v>
      </c>
      <c r="U25" s="143" t="str">
        <f t="shared" si="1"/>
        <v>Mike Pope</v>
      </c>
      <c r="V25" s="1">
        <f>23+1</f>
        <v>24</v>
      </c>
      <c r="W25" s="186" t="s">
        <v>228</v>
      </c>
    </row>
    <row r="26" spans="1:26">
      <c r="A26" s="132">
        <v>24</v>
      </c>
      <c r="B26" s="133" t="s">
        <v>27</v>
      </c>
      <c r="C26" s="134">
        <v>0</v>
      </c>
      <c r="D26" s="135">
        <v>2</v>
      </c>
      <c r="E26" s="132">
        <v>23</v>
      </c>
      <c r="F26" s="132">
        <v>43</v>
      </c>
      <c r="G26" s="132">
        <v>9</v>
      </c>
      <c r="H26" s="136">
        <v>2.5555555555555554</v>
      </c>
      <c r="I26" s="136">
        <v>4.7777777777777777</v>
      </c>
      <c r="J26" s="136" t="s">
        <v>220</v>
      </c>
      <c r="L26" s="132">
        <v>3</v>
      </c>
      <c r="M26" s="137" t="s">
        <v>207</v>
      </c>
      <c r="N26" s="138" t="s">
        <v>212</v>
      </c>
      <c r="O26" s="139" t="s">
        <v>220</v>
      </c>
      <c r="P26" s="140">
        <v>32</v>
      </c>
      <c r="Q26" s="140">
        <v>44</v>
      </c>
      <c r="R26" s="141" t="s">
        <v>220</v>
      </c>
      <c r="S26" s="142" t="s">
        <v>201</v>
      </c>
      <c r="U26" s="143" t="str">
        <f t="shared" si="1"/>
        <v>Dave Brown</v>
      </c>
      <c r="V26" s="1">
        <v>22</v>
      </c>
    </row>
    <row r="27" spans="1:26">
      <c r="A27" s="132">
        <v>25</v>
      </c>
      <c r="B27" s="133" t="s">
        <v>199</v>
      </c>
      <c r="C27" s="134" t="s">
        <v>212</v>
      </c>
      <c r="D27" s="135">
        <v>1</v>
      </c>
      <c r="E27" s="132">
        <v>22</v>
      </c>
      <c r="F27" s="132">
        <v>59</v>
      </c>
      <c r="G27" s="132">
        <v>9</v>
      </c>
      <c r="H27" s="136">
        <v>2.4444444444444446</v>
      </c>
      <c r="I27" s="136">
        <v>6.5555555555555554</v>
      </c>
      <c r="J27" s="136" t="s">
        <v>220</v>
      </c>
      <c r="L27" s="132">
        <v>4</v>
      </c>
      <c r="M27" s="137" t="s">
        <v>27</v>
      </c>
      <c r="N27" s="138">
        <v>0</v>
      </c>
      <c r="O27" s="139" t="s">
        <v>220</v>
      </c>
      <c r="P27" s="140">
        <v>31</v>
      </c>
      <c r="Q27" s="140">
        <v>39</v>
      </c>
      <c r="R27" s="141" t="s">
        <v>220</v>
      </c>
      <c r="S27" s="142" t="s">
        <v>201</v>
      </c>
      <c r="U27" s="143" t="str">
        <f t="shared" si="1"/>
        <v>Cathy Kuepfer</v>
      </c>
      <c r="V27" s="1">
        <v>21</v>
      </c>
    </row>
    <row r="28" spans="1:26">
      <c r="A28" s="132">
        <v>26</v>
      </c>
      <c r="B28" s="133" t="s">
        <v>208</v>
      </c>
      <c r="C28" s="134">
        <v>0</v>
      </c>
      <c r="D28" s="135">
        <v>1</v>
      </c>
      <c r="E28" s="132">
        <v>22</v>
      </c>
      <c r="F28" s="132">
        <v>19</v>
      </c>
      <c r="G28" s="132">
        <v>9</v>
      </c>
      <c r="H28" s="136">
        <v>2.4444444444444446</v>
      </c>
      <c r="I28" s="136">
        <v>2.1111111111111112</v>
      </c>
      <c r="J28" s="136" t="s">
        <v>220</v>
      </c>
      <c r="L28" s="132">
        <v>5</v>
      </c>
      <c r="M28" s="137" t="s">
        <v>199</v>
      </c>
      <c r="N28" s="138" t="s">
        <v>212</v>
      </c>
      <c r="O28" s="139" t="s">
        <v>220</v>
      </c>
      <c r="P28" s="140">
        <v>28</v>
      </c>
      <c r="Q28" s="140">
        <v>50</v>
      </c>
      <c r="R28" s="141" t="s">
        <v>220</v>
      </c>
      <c r="S28" s="142" t="s">
        <v>182</v>
      </c>
      <c r="U28" s="143" t="str">
        <f t="shared" si="1"/>
        <v>Peter Tarle</v>
      </c>
      <c r="V28" s="1">
        <v>20</v>
      </c>
      <c r="W28" s="160"/>
    </row>
    <row r="29" spans="1:26">
      <c r="A29" s="132">
        <v>27</v>
      </c>
      <c r="B29" s="133" t="s">
        <v>221</v>
      </c>
      <c r="C29" s="134">
        <v>0</v>
      </c>
      <c r="D29" s="135">
        <v>3</v>
      </c>
      <c r="E29" s="132">
        <v>18</v>
      </c>
      <c r="F29" s="132">
        <v>39</v>
      </c>
      <c r="G29" s="132">
        <v>8</v>
      </c>
      <c r="H29" s="136">
        <v>2.25</v>
      </c>
      <c r="I29" s="136">
        <v>4.875</v>
      </c>
      <c r="J29" s="136" t="s">
        <v>220</v>
      </c>
      <c r="L29" s="132">
        <v>6</v>
      </c>
      <c r="M29" s="137" t="s">
        <v>223</v>
      </c>
      <c r="N29" s="138" t="s">
        <v>212</v>
      </c>
      <c r="O29" s="139" t="s">
        <v>220</v>
      </c>
      <c r="P29" s="140">
        <v>23</v>
      </c>
      <c r="Q29" s="140">
        <v>49</v>
      </c>
      <c r="R29" s="141" t="s">
        <v>220</v>
      </c>
      <c r="S29" s="142" t="s">
        <v>182</v>
      </c>
      <c r="U29" s="143" t="str">
        <f t="shared" si="1"/>
        <v>Gord Smale</v>
      </c>
      <c r="V29" s="1">
        <v>20</v>
      </c>
      <c r="W29" s="160"/>
    </row>
    <row r="30" spans="1:26">
      <c r="A30" s="132">
        <v>28</v>
      </c>
      <c r="B30" s="133" t="s">
        <v>222</v>
      </c>
      <c r="C30" s="134">
        <v>0</v>
      </c>
      <c r="D30" s="135">
        <v>2</v>
      </c>
      <c r="E30" s="132">
        <v>20</v>
      </c>
      <c r="F30" s="132">
        <v>35</v>
      </c>
      <c r="G30" s="132">
        <v>9</v>
      </c>
      <c r="H30" s="136">
        <v>2.2222222222222223</v>
      </c>
      <c r="I30" s="136">
        <v>7.1111111111111107</v>
      </c>
      <c r="J30" s="136" t="s">
        <v>220</v>
      </c>
      <c r="L30" s="132">
        <v>7</v>
      </c>
      <c r="M30" s="137" t="s">
        <v>221</v>
      </c>
      <c r="N30" s="138">
        <v>0</v>
      </c>
      <c r="O30" s="139" t="s">
        <v>220</v>
      </c>
      <c r="P30" s="140">
        <v>21</v>
      </c>
      <c r="Q30" s="140">
        <v>35</v>
      </c>
      <c r="R30" s="141" t="s">
        <v>220</v>
      </c>
      <c r="S30" s="142" t="s">
        <v>182</v>
      </c>
      <c r="U30" s="143" t="str">
        <f t="shared" si="1"/>
        <v>Oliver Ware</v>
      </c>
      <c r="V30" s="1">
        <v>20</v>
      </c>
    </row>
    <row r="31" spans="1:26">
      <c r="A31" s="132">
        <v>29</v>
      </c>
      <c r="B31" s="133" t="s">
        <v>223</v>
      </c>
      <c r="C31" s="134" t="s">
        <v>212</v>
      </c>
      <c r="D31" s="135">
        <v>2</v>
      </c>
      <c r="E31" s="132">
        <v>18</v>
      </c>
      <c r="F31" s="132">
        <v>50</v>
      </c>
      <c r="G31" s="132">
        <v>9</v>
      </c>
      <c r="H31" s="136">
        <v>2</v>
      </c>
      <c r="I31" s="136">
        <v>5.5555555555555554</v>
      </c>
      <c r="J31" s="136" t="s">
        <v>220</v>
      </c>
      <c r="L31" s="132">
        <v>8</v>
      </c>
      <c r="M31" s="137" t="s">
        <v>208</v>
      </c>
      <c r="N31" s="138">
        <v>0</v>
      </c>
      <c r="O31" s="139" t="s">
        <v>220</v>
      </c>
      <c r="P31" s="140">
        <v>20</v>
      </c>
      <c r="Q31" s="140">
        <v>26</v>
      </c>
      <c r="R31" s="141" t="s">
        <v>220</v>
      </c>
      <c r="S31" s="142" t="s">
        <v>182</v>
      </c>
      <c r="U31" s="143" t="str">
        <f t="shared" si="1"/>
        <v>Gloria Walsh</v>
      </c>
      <c r="V31" s="1">
        <v>20</v>
      </c>
    </row>
    <row r="32" spans="1:26">
      <c r="A32" s="132">
        <v>30</v>
      </c>
      <c r="B32" s="133" t="s">
        <v>224</v>
      </c>
      <c r="C32" s="134">
        <v>0</v>
      </c>
      <c r="D32" s="135">
        <v>1</v>
      </c>
      <c r="E32" s="132">
        <v>0</v>
      </c>
      <c r="F32" s="132">
        <v>0</v>
      </c>
      <c r="G32" s="132">
        <v>9</v>
      </c>
      <c r="H32" s="136">
        <v>0</v>
      </c>
      <c r="I32" s="136">
        <v>0</v>
      </c>
      <c r="J32" s="136" t="s">
        <v>220</v>
      </c>
      <c r="L32" s="132">
        <v>9</v>
      </c>
      <c r="M32" s="137" t="s">
        <v>45</v>
      </c>
      <c r="N32" s="138">
        <v>0</v>
      </c>
      <c r="O32" s="139" t="s">
        <v>220</v>
      </c>
      <c r="P32" s="140">
        <v>0</v>
      </c>
      <c r="Q32" s="140">
        <v>0</v>
      </c>
      <c r="R32" s="141" t="s">
        <v>220</v>
      </c>
      <c r="S32" s="185" t="s">
        <v>182</v>
      </c>
      <c r="U32" s="143" t="str">
        <f t="shared" si="1"/>
        <v>Steffan Hiller-Ranney</v>
      </c>
      <c r="V32" s="1">
        <v>20</v>
      </c>
    </row>
    <row r="33" spans="1:24">
      <c r="A33" s="132">
        <v>31</v>
      </c>
      <c r="B33" s="133" t="s">
        <v>225</v>
      </c>
      <c r="C33" s="134">
        <v>0</v>
      </c>
      <c r="D33" s="135">
        <v>3</v>
      </c>
      <c r="E33" s="132">
        <v>0</v>
      </c>
      <c r="F33" s="132">
        <v>0</v>
      </c>
      <c r="G33" s="132">
        <v>8</v>
      </c>
      <c r="H33" s="136">
        <v>0</v>
      </c>
      <c r="I33" s="136">
        <v>0</v>
      </c>
      <c r="J33" s="136" t="s">
        <v>220</v>
      </c>
      <c r="L33" s="132">
        <v>10</v>
      </c>
      <c r="M33" s="137" t="s">
        <v>44</v>
      </c>
      <c r="N33" s="138">
        <v>0</v>
      </c>
      <c r="O33" s="139" t="s">
        <v>220</v>
      </c>
      <c r="P33" s="140">
        <v>0</v>
      </c>
      <c r="Q33" s="140">
        <v>0</v>
      </c>
      <c r="R33" s="141" t="s">
        <v>220</v>
      </c>
      <c r="S33" s="185"/>
      <c r="U33" s="143" t="str">
        <f t="shared" si="1"/>
        <v>Kevin Ranney</v>
      </c>
      <c r="V33" s="1">
        <v>20</v>
      </c>
    </row>
    <row r="34" spans="1:24">
      <c r="A34" s="132"/>
      <c r="B34" s="133"/>
      <c r="C34" s="134"/>
      <c r="D34" s="135"/>
      <c r="E34" s="132"/>
      <c r="F34" s="132"/>
      <c r="G34" s="132"/>
      <c r="H34" s="136"/>
      <c r="I34" s="136"/>
      <c r="J34" s="136"/>
      <c r="L34" s="132"/>
      <c r="M34" s="137"/>
      <c r="N34" s="138"/>
      <c r="O34" s="139"/>
      <c r="P34" s="140"/>
      <c r="Q34" s="140"/>
      <c r="R34" s="141"/>
      <c r="S34" s="142"/>
      <c r="U34" s="143"/>
      <c r="V34" s="1"/>
    </row>
    <row r="35" spans="1:24">
      <c r="A35" s="132"/>
      <c r="B35" s="133"/>
      <c r="C35" s="134"/>
      <c r="D35" s="135"/>
      <c r="E35" s="132"/>
      <c r="F35" s="132"/>
      <c r="G35" s="132"/>
      <c r="H35" s="136"/>
      <c r="I35" s="136"/>
      <c r="J35" s="136"/>
      <c r="L35" s="132"/>
      <c r="M35" s="137"/>
      <c r="N35" s="138"/>
      <c r="O35" s="139"/>
      <c r="P35" s="140"/>
      <c r="Q35" s="140"/>
      <c r="R35" s="141"/>
      <c r="S35" s="142"/>
      <c r="U35" s="143"/>
      <c r="V35" s="1"/>
    </row>
    <row r="36" spans="1:24">
      <c r="A36" s="132"/>
      <c r="B36" s="133"/>
      <c r="C36" s="134"/>
      <c r="D36" s="135"/>
      <c r="E36" s="132"/>
      <c r="F36" s="132"/>
      <c r="G36" s="132"/>
      <c r="H36" s="136"/>
      <c r="I36" s="136"/>
      <c r="J36" s="136"/>
      <c r="L36" s="132"/>
      <c r="M36" s="137"/>
      <c r="N36" s="138"/>
      <c r="O36" s="139"/>
      <c r="P36" s="140"/>
      <c r="Q36" s="140"/>
      <c r="R36" s="141"/>
      <c r="S36" s="142"/>
      <c r="U36" s="143"/>
      <c r="V36" s="1"/>
    </row>
    <row r="37" spans="1:24">
      <c r="A37" s="132"/>
      <c r="B37" s="133"/>
      <c r="C37" s="134"/>
      <c r="D37" s="135"/>
      <c r="E37" s="132"/>
      <c r="F37" s="132"/>
      <c r="G37" s="132"/>
      <c r="H37" s="136"/>
      <c r="I37" s="136"/>
      <c r="J37" s="136"/>
      <c r="L37" s="132"/>
      <c r="M37" s="137"/>
      <c r="N37" s="138"/>
      <c r="O37" s="139"/>
      <c r="P37" s="140"/>
      <c r="Q37" s="140"/>
      <c r="R37" s="141"/>
      <c r="S37" s="142"/>
      <c r="U37" s="143"/>
      <c r="V37" s="1"/>
    </row>
    <row r="38" spans="1:24">
      <c r="A38" s="132"/>
      <c r="B38" s="133"/>
      <c r="C38" s="134"/>
      <c r="D38" s="135"/>
      <c r="E38" s="132"/>
      <c r="F38" s="132"/>
      <c r="G38" s="132"/>
      <c r="H38" s="136"/>
      <c r="I38" s="136"/>
      <c r="J38" s="136"/>
      <c r="L38" s="132"/>
      <c r="M38" s="137"/>
      <c r="N38" s="138"/>
      <c r="O38" s="139"/>
      <c r="P38" s="140"/>
      <c r="Q38" s="140"/>
      <c r="R38" s="141"/>
      <c r="S38" s="142"/>
      <c r="U38" s="143"/>
      <c r="V38" s="1"/>
    </row>
    <row r="39" spans="1:24">
      <c r="A39" s="132"/>
      <c r="B39" s="133"/>
      <c r="C39" s="134"/>
      <c r="D39" s="135"/>
      <c r="E39" s="132"/>
      <c r="F39" s="132"/>
      <c r="G39" s="132"/>
      <c r="H39" s="136"/>
      <c r="I39" s="136"/>
      <c r="J39" s="136"/>
      <c r="L39" s="132"/>
      <c r="M39" s="137"/>
      <c r="N39" s="138"/>
      <c r="O39" s="139"/>
      <c r="P39" s="140"/>
      <c r="Q39" s="140"/>
      <c r="R39" s="141"/>
      <c r="S39" s="142"/>
      <c r="U39" s="143"/>
      <c r="V39" s="1"/>
    </row>
    <row r="40" spans="1:24">
      <c r="A40" s="132"/>
      <c r="B40" s="133"/>
      <c r="C40" s="134"/>
      <c r="D40" s="135"/>
      <c r="E40" s="132"/>
      <c r="F40" s="132"/>
      <c r="G40" s="132"/>
      <c r="H40" s="136"/>
      <c r="I40" s="136"/>
      <c r="J40" s="136"/>
      <c r="L40" s="166"/>
      <c r="M40" s="167"/>
      <c r="N40" s="168"/>
      <c r="O40" s="169"/>
      <c r="P40" s="170"/>
      <c r="Q40" s="170"/>
      <c r="R40" s="171"/>
      <c r="S40" s="172"/>
      <c r="U40" s="143"/>
      <c r="V40" s="1"/>
    </row>
    <row r="41" spans="1:24">
      <c r="A41" s="166"/>
      <c r="B41" s="173"/>
      <c r="C41" s="174"/>
      <c r="D41" s="175"/>
      <c r="E41" s="166"/>
      <c r="F41" s="166"/>
      <c r="G41" s="166"/>
      <c r="H41" s="176"/>
      <c r="I41" s="176"/>
      <c r="J41" s="176"/>
    </row>
    <row r="42" spans="1:24" s="165" customFormat="1">
      <c r="A42" s="177">
        <f>IF(R40=J42,L40+1,1)</f>
        <v>1</v>
      </c>
      <c r="B42" s="178" t="str">
        <f>IF([1]SortPMResults!C42&lt;&gt;"",[1]SortPMResults!C42,"")</f>
        <v/>
      </c>
      <c r="C42" s="179" t="str">
        <f>IF([1]SortPMResults!D42&lt;&gt;"",[1]SortPMResults!D42,"")</f>
        <v/>
      </c>
      <c r="D42" s="180" t="str">
        <f>IF([1]SortPMResults!E42&lt;&gt;"",[1]SortPMResults!E42,"")</f>
        <v>X</v>
      </c>
      <c r="E42" s="181" t="str">
        <f>IF([1]SortPMResults!F42&lt;&gt;"",[1]SortPMResults!F42,"")</f>
        <v/>
      </c>
      <c r="F42" s="181" t="str">
        <f>IF([1]SortPMResults!G42&lt;&gt;"",[1]SortPMResults!G42,"")</f>
        <v/>
      </c>
      <c r="G42" s="181" t="str">
        <f>IF([1]SortPMResults!H42&lt;&gt;"",[1]SortPMResults!H42,"")</f>
        <v/>
      </c>
      <c r="H42" s="182" t="str">
        <f>IF([1]SortPMResults!I42&lt;&gt;"",[1]SortPMResults!I42,"")</f>
        <v/>
      </c>
      <c r="I42" s="182" t="str">
        <f>IF([1]SortPMResults!J42&lt;&gt;"",[1]SortPMResults!J42,"")</f>
        <v/>
      </c>
      <c r="J42" s="182" t="str">
        <f>[1]SortPMResults!E42</f>
        <v>X</v>
      </c>
      <c r="L42" s="183" t="str">
        <f t="shared" ref="L42:L52" si="2">IF(A42&lt;5,"Semi-Finalist","")</f>
        <v>Semi-Finalist</v>
      </c>
      <c r="V42" s="184"/>
      <c r="X42"/>
    </row>
    <row r="43" spans="1:24" s="165" customFormat="1">
      <c r="A43" s="177">
        <f t="shared" ref="A43:A52" si="3">IF(J42=J43,A42+1,1)</f>
        <v>2</v>
      </c>
      <c r="B43" s="178" t="str">
        <f>IF([1]SortPMResults!C43&lt;&gt;"",[1]SortPMResults!C43,"")</f>
        <v/>
      </c>
      <c r="C43" s="179" t="str">
        <f>IF([1]SortPMResults!D43&lt;&gt;"",[1]SortPMResults!D43,"")</f>
        <v/>
      </c>
      <c r="D43" s="180" t="str">
        <f>IF([1]SortPMResults!E43&lt;&gt;"",[1]SortPMResults!E43,"")</f>
        <v>X</v>
      </c>
      <c r="E43" s="181" t="str">
        <f>IF([1]SortPMResults!F43&lt;&gt;"",[1]SortPMResults!F43,"")</f>
        <v/>
      </c>
      <c r="F43" s="181" t="str">
        <f>IF([1]SortPMResults!G43&lt;&gt;"",[1]SortPMResults!G43,"")</f>
        <v/>
      </c>
      <c r="G43" s="181" t="str">
        <f>IF([1]SortPMResults!H43&lt;&gt;"",[1]SortPMResults!H43,"")</f>
        <v/>
      </c>
      <c r="H43" s="182" t="str">
        <f>IF([1]SortPMResults!I43&lt;&gt;"",[1]SortPMResults!I43,"")</f>
        <v/>
      </c>
      <c r="I43" s="182" t="str">
        <f>IF([1]SortPMResults!J43&lt;&gt;"",[1]SortPMResults!J43,"")</f>
        <v/>
      </c>
      <c r="J43" s="182" t="str">
        <f>[1]SortPMResults!E43</f>
        <v>X</v>
      </c>
      <c r="L43" s="183" t="str">
        <f t="shared" si="2"/>
        <v>Semi-Finalist</v>
      </c>
      <c r="V43" s="184"/>
    </row>
    <row r="44" spans="1:24" s="165" customFormat="1">
      <c r="A44" s="177">
        <f t="shared" si="3"/>
        <v>3</v>
      </c>
      <c r="B44" s="178" t="str">
        <f>IF([1]SortPMResults!C44&lt;&gt;"",[1]SortPMResults!C44,"")</f>
        <v/>
      </c>
      <c r="C44" s="179" t="str">
        <f>IF([1]SortPMResults!D44&lt;&gt;"",[1]SortPMResults!D44,"")</f>
        <v/>
      </c>
      <c r="D44" s="180" t="str">
        <f>IF([1]SortPMResults!E44&lt;&gt;"",[1]SortPMResults!E44,"")</f>
        <v>X</v>
      </c>
      <c r="E44" s="181" t="str">
        <f>IF([1]SortPMResults!F44&lt;&gt;"",[1]SortPMResults!F44,"")</f>
        <v/>
      </c>
      <c r="F44" s="181" t="str">
        <f>IF([1]SortPMResults!G44&lt;&gt;"",[1]SortPMResults!G44,"")</f>
        <v/>
      </c>
      <c r="G44" s="181" t="str">
        <f>IF([1]SortPMResults!H44&lt;&gt;"",[1]SortPMResults!H44,"")</f>
        <v/>
      </c>
      <c r="H44" s="182" t="str">
        <f>IF([1]SortPMResults!I44&lt;&gt;"",[1]SortPMResults!I44,"")</f>
        <v/>
      </c>
      <c r="I44" s="182" t="str">
        <f>IF([1]SortPMResults!J44&lt;&gt;"",[1]SortPMResults!J44,"")</f>
        <v/>
      </c>
      <c r="J44" s="182" t="str">
        <f>[1]SortPMResults!E44</f>
        <v>X</v>
      </c>
      <c r="L44" s="182" t="str">
        <f t="shared" si="2"/>
        <v>Semi-Finalist</v>
      </c>
      <c r="V44" s="184"/>
    </row>
    <row r="45" spans="1:24" s="165" customFormat="1">
      <c r="A45" s="177">
        <f t="shared" si="3"/>
        <v>4</v>
      </c>
      <c r="B45" s="178" t="str">
        <f>IF([1]SortPMResults!C45&lt;&gt;"",[1]SortPMResults!C45,"")</f>
        <v/>
      </c>
      <c r="C45" s="179" t="str">
        <f>IF([1]SortPMResults!D45&lt;&gt;"",[1]SortPMResults!D45,"")</f>
        <v/>
      </c>
      <c r="D45" s="180" t="str">
        <f>IF([1]SortPMResults!E45&lt;&gt;"",[1]SortPMResults!E45,"")</f>
        <v>X</v>
      </c>
      <c r="E45" s="181" t="str">
        <f>IF([1]SortPMResults!F45&lt;&gt;"",[1]SortPMResults!F45,"")</f>
        <v/>
      </c>
      <c r="F45" s="181" t="str">
        <f>IF([1]SortPMResults!G45&lt;&gt;"",[1]SortPMResults!G45,"")</f>
        <v/>
      </c>
      <c r="G45" s="181" t="str">
        <f>IF([1]SortPMResults!H45&lt;&gt;"",[1]SortPMResults!H45,"")</f>
        <v/>
      </c>
      <c r="H45" s="182" t="str">
        <f>IF([1]SortPMResults!I45&lt;&gt;"",[1]SortPMResults!I45,"")</f>
        <v/>
      </c>
      <c r="I45" s="182" t="str">
        <f>IF([1]SortPMResults!J45&lt;&gt;"",[1]SortPMResults!J45,"")</f>
        <v/>
      </c>
      <c r="J45" s="182" t="str">
        <f>[1]SortPMResults!E45</f>
        <v>X</v>
      </c>
      <c r="L45" s="182" t="str">
        <f t="shared" si="2"/>
        <v>Semi-Finalist</v>
      </c>
      <c r="V45" s="184"/>
    </row>
    <row r="46" spans="1:24" s="165" customFormat="1">
      <c r="A46" s="177">
        <f t="shared" si="3"/>
        <v>5</v>
      </c>
      <c r="B46" s="178" t="str">
        <f>IF([1]SortPMResults!C46&lt;&gt;"",[1]SortPMResults!C46,"")</f>
        <v/>
      </c>
      <c r="C46" s="179" t="str">
        <f>IF([1]SortPMResults!D46&lt;&gt;"",[1]SortPMResults!D46,"")</f>
        <v/>
      </c>
      <c r="D46" s="180" t="str">
        <f>IF([1]SortPMResults!E46&lt;&gt;"",[1]SortPMResults!E46,"")</f>
        <v>X</v>
      </c>
      <c r="E46" s="181" t="str">
        <f>IF([1]SortPMResults!F46&lt;&gt;"",[1]SortPMResults!F46,"")</f>
        <v/>
      </c>
      <c r="F46" s="181" t="str">
        <f>IF([1]SortPMResults!G46&lt;&gt;"",[1]SortPMResults!G46,"")</f>
        <v/>
      </c>
      <c r="G46" s="181" t="str">
        <f>IF([1]SortPMResults!H46&lt;&gt;"",[1]SortPMResults!H46,"")</f>
        <v/>
      </c>
      <c r="H46" s="182" t="str">
        <f>IF([1]SortPMResults!I46&lt;&gt;"",[1]SortPMResults!I46,"")</f>
        <v/>
      </c>
      <c r="I46" s="182" t="str">
        <f>IF([1]SortPMResults!J46&lt;&gt;"",[1]SortPMResults!J46,"")</f>
        <v/>
      </c>
      <c r="J46" s="182" t="str">
        <f>[1]SortPMResults!E46</f>
        <v>X</v>
      </c>
      <c r="L46" s="182" t="str">
        <f t="shared" si="2"/>
        <v/>
      </c>
      <c r="V46" s="184"/>
    </row>
    <row r="47" spans="1:24" s="165" customFormat="1">
      <c r="A47" s="177">
        <f t="shared" si="3"/>
        <v>6</v>
      </c>
      <c r="B47" s="178" t="str">
        <f>IF([1]SortPMResults!C47&lt;&gt;"",[1]SortPMResults!C47,"")</f>
        <v/>
      </c>
      <c r="C47" s="179" t="str">
        <f>IF([1]SortPMResults!D47&lt;&gt;"",[1]SortPMResults!D47,"")</f>
        <v/>
      </c>
      <c r="D47" s="180" t="str">
        <f>IF([1]SortPMResults!E47&lt;&gt;"",[1]SortPMResults!E47,"")</f>
        <v>X</v>
      </c>
      <c r="E47" s="181" t="str">
        <f>IF([1]SortPMResults!F47&lt;&gt;"",[1]SortPMResults!F47,"")</f>
        <v/>
      </c>
      <c r="F47" s="181" t="str">
        <f>IF([1]SortPMResults!G47&lt;&gt;"",[1]SortPMResults!G47,"")</f>
        <v/>
      </c>
      <c r="G47" s="181" t="str">
        <f>IF([1]SortPMResults!H47&lt;&gt;"",[1]SortPMResults!H47,"")</f>
        <v/>
      </c>
      <c r="H47" s="182" t="str">
        <f>IF([1]SortPMResults!I47&lt;&gt;"",[1]SortPMResults!I47,"")</f>
        <v/>
      </c>
      <c r="I47" s="182" t="str">
        <f>IF([1]SortPMResults!J47&lt;&gt;"",[1]SortPMResults!J47,"")</f>
        <v/>
      </c>
      <c r="J47" s="182" t="str">
        <f>[1]SortPMResults!E47</f>
        <v>X</v>
      </c>
      <c r="L47" s="182" t="str">
        <f t="shared" si="2"/>
        <v/>
      </c>
      <c r="V47" s="184"/>
    </row>
    <row r="48" spans="1:24" s="165" customFormat="1">
      <c r="A48" s="177">
        <f t="shared" si="3"/>
        <v>7</v>
      </c>
      <c r="B48" s="178" t="str">
        <f>IF([1]SortPMResults!C48&lt;&gt;"",[1]SortPMResults!C48,"")</f>
        <v/>
      </c>
      <c r="C48" s="179" t="str">
        <f>IF([1]SortPMResults!D48&lt;&gt;"",[1]SortPMResults!D48,"")</f>
        <v/>
      </c>
      <c r="D48" s="180" t="str">
        <f>IF([1]SortPMResults!E48&lt;&gt;"",[1]SortPMResults!E48,"")</f>
        <v>X</v>
      </c>
      <c r="E48" s="181" t="str">
        <f>IF([1]SortPMResults!F48&lt;&gt;"",[1]SortPMResults!F48,"")</f>
        <v/>
      </c>
      <c r="F48" s="181" t="str">
        <f>IF([1]SortPMResults!G48&lt;&gt;"",[1]SortPMResults!G48,"")</f>
        <v/>
      </c>
      <c r="G48" s="181" t="str">
        <f>IF([1]SortPMResults!H48&lt;&gt;"",[1]SortPMResults!H48,"")</f>
        <v/>
      </c>
      <c r="H48" s="182" t="str">
        <f>IF([1]SortPMResults!I48&lt;&gt;"",[1]SortPMResults!I48,"")</f>
        <v/>
      </c>
      <c r="I48" s="182" t="str">
        <f>IF([1]SortPMResults!J48&lt;&gt;"",[1]SortPMResults!J48,"")</f>
        <v/>
      </c>
      <c r="J48" s="182" t="str">
        <f>[1]SortPMResults!E48</f>
        <v>X</v>
      </c>
      <c r="L48" s="182" t="str">
        <f t="shared" si="2"/>
        <v/>
      </c>
      <c r="V48" s="184"/>
    </row>
    <row r="49" spans="1:22" s="165" customFormat="1">
      <c r="A49" s="177">
        <f t="shared" si="3"/>
        <v>8</v>
      </c>
      <c r="B49" s="178" t="str">
        <f>IF([1]SortPMResults!C49&lt;&gt;"",[1]SortPMResults!C49,"")</f>
        <v/>
      </c>
      <c r="C49" s="179" t="str">
        <f>IF([1]SortPMResults!D49&lt;&gt;"",[1]SortPMResults!D49,"")</f>
        <v/>
      </c>
      <c r="D49" s="180" t="str">
        <f>IF([1]SortPMResults!E49&lt;&gt;"",[1]SortPMResults!E49,"")</f>
        <v>X</v>
      </c>
      <c r="E49" s="181" t="str">
        <f>IF([1]SortPMResults!F49&lt;&gt;"",[1]SortPMResults!F49,"")</f>
        <v/>
      </c>
      <c r="F49" s="181" t="str">
        <f>IF([1]SortPMResults!G49&lt;&gt;"",[1]SortPMResults!G49,"")</f>
        <v/>
      </c>
      <c r="G49" s="181" t="str">
        <f>IF([1]SortPMResults!H49&lt;&gt;"",[1]SortPMResults!H49,"")</f>
        <v/>
      </c>
      <c r="H49" s="182" t="str">
        <f>IF([1]SortPMResults!I49&lt;&gt;"",[1]SortPMResults!I49,"")</f>
        <v/>
      </c>
      <c r="I49" s="182" t="str">
        <f>IF([1]SortPMResults!J49&lt;&gt;"",[1]SortPMResults!J49,"")</f>
        <v/>
      </c>
      <c r="J49" s="182" t="str">
        <f>[1]SortPMResults!E49</f>
        <v>X</v>
      </c>
      <c r="L49" s="182" t="str">
        <f t="shared" si="2"/>
        <v/>
      </c>
      <c r="V49" s="184"/>
    </row>
    <row r="50" spans="1:22" s="165" customFormat="1">
      <c r="A50" s="177">
        <f t="shared" si="3"/>
        <v>9</v>
      </c>
      <c r="B50" s="178" t="str">
        <f>IF([1]SortPMResults!C50&lt;&gt;"",[1]SortPMResults!C50,"")</f>
        <v/>
      </c>
      <c r="C50" s="179" t="str">
        <f>IF([1]SortPMResults!D50&lt;&gt;"",[1]SortPMResults!D50,"")</f>
        <v/>
      </c>
      <c r="D50" s="180" t="str">
        <f>IF([1]SortPMResults!E50&lt;&gt;"",[1]SortPMResults!E50,"")</f>
        <v>X</v>
      </c>
      <c r="E50" s="181" t="str">
        <f>IF([1]SortPMResults!F50&lt;&gt;"",[1]SortPMResults!F50,"")</f>
        <v/>
      </c>
      <c r="F50" s="181" t="str">
        <f>IF([1]SortPMResults!G50&lt;&gt;"",[1]SortPMResults!G50,"")</f>
        <v/>
      </c>
      <c r="G50" s="181" t="str">
        <f>IF([1]SortPMResults!H50&lt;&gt;"",[1]SortPMResults!H50,"")</f>
        <v/>
      </c>
      <c r="H50" s="182" t="str">
        <f>IF([1]SortPMResults!I50&lt;&gt;"",[1]SortPMResults!I50,"")</f>
        <v/>
      </c>
      <c r="I50" s="182" t="str">
        <f>IF([1]SortPMResults!J50&lt;&gt;"",[1]SortPMResults!J50,"")</f>
        <v/>
      </c>
      <c r="J50" s="182" t="str">
        <f>[1]SortPMResults!E50</f>
        <v>X</v>
      </c>
      <c r="L50" s="182" t="str">
        <f t="shared" si="2"/>
        <v/>
      </c>
      <c r="V50" s="184"/>
    </row>
    <row r="51" spans="1:22" s="165" customFormat="1">
      <c r="A51" s="177">
        <f t="shared" si="3"/>
        <v>10</v>
      </c>
      <c r="B51" s="178" t="str">
        <f>IF([1]SortPMResults!C51&lt;&gt;"",[1]SortPMResults!C51,"")</f>
        <v/>
      </c>
      <c r="C51" s="179" t="str">
        <f>IF([1]SortPMResults!D51&lt;&gt;"",[1]SortPMResults!D51,"")</f>
        <v/>
      </c>
      <c r="D51" s="180" t="str">
        <f>IF([1]SortPMResults!E51&lt;&gt;"",[1]SortPMResults!E51,"")</f>
        <v>X</v>
      </c>
      <c r="E51" s="181" t="str">
        <f>IF([1]SortPMResults!F51&lt;&gt;"",[1]SortPMResults!F51,"")</f>
        <v/>
      </c>
      <c r="F51" s="181" t="str">
        <f>IF([1]SortPMResults!G51&lt;&gt;"",[1]SortPMResults!G51,"")</f>
        <v/>
      </c>
      <c r="G51" s="181" t="str">
        <f>IF([1]SortPMResults!H51&lt;&gt;"",[1]SortPMResults!H51,"")</f>
        <v/>
      </c>
      <c r="H51" s="182" t="str">
        <f>IF([1]SortPMResults!I51&lt;&gt;"",[1]SortPMResults!I51,"")</f>
        <v/>
      </c>
      <c r="I51" s="182" t="str">
        <f>IF([1]SortPMResults!J51&lt;&gt;"",[1]SortPMResults!J51,"")</f>
        <v/>
      </c>
      <c r="J51" s="182" t="str">
        <f>[1]SortPMResults!E51</f>
        <v>X</v>
      </c>
      <c r="L51" s="182" t="str">
        <f t="shared" si="2"/>
        <v/>
      </c>
      <c r="V51" s="184"/>
    </row>
    <row r="52" spans="1:22" s="165" customFormat="1">
      <c r="A52" s="177">
        <f t="shared" si="3"/>
        <v>11</v>
      </c>
      <c r="B52" s="178" t="str">
        <f>IF([1]SortPMResults!C52&lt;&gt;"",[1]SortPMResults!C52,"")</f>
        <v/>
      </c>
      <c r="C52" s="179" t="str">
        <f>IF([1]SortPMResults!D52&lt;&gt;"",[1]SortPMResults!D52,"")</f>
        <v/>
      </c>
      <c r="D52" s="180" t="str">
        <f>IF([1]SortPMResults!E52&lt;&gt;"",[1]SortPMResults!E52,"")</f>
        <v>X</v>
      </c>
      <c r="E52" s="181" t="str">
        <f>IF([1]SortPMResults!F52&lt;&gt;"",[1]SortPMResults!F52,"")</f>
        <v/>
      </c>
      <c r="F52" s="181" t="str">
        <f>IF([1]SortPMResults!G52&lt;&gt;"",[1]SortPMResults!G52,"")</f>
        <v/>
      </c>
      <c r="G52" s="181" t="str">
        <f>IF([1]SortPMResults!H52&lt;&gt;"",[1]SortPMResults!H52,"")</f>
        <v/>
      </c>
      <c r="H52" s="182" t="str">
        <f>IF([1]SortPMResults!I52&lt;&gt;"",[1]SortPMResults!I52,"")</f>
        <v/>
      </c>
      <c r="I52" s="182" t="str">
        <f>IF([1]SortPMResults!J52&lt;&gt;"",[1]SortPMResults!J52,"")</f>
        <v/>
      </c>
      <c r="J52" s="182" t="str">
        <f>[1]SortPMResults!E52</f>
        <v>X</v>
      </c>
      <c r="L52" s="182" t="str">
        <f t="shared" si="2"/>
        <v/>
      </c>
      <c r="V52" s="184"/>
    </row>
  </sheetData>
  <conditionalFormatting sqref="A42:J52 L4:R33">
    <cfRule type="expression" dxfId="60" priority="119">
      <formula>$J4="C"</formula>
    </cfRule>
    <cfRule type="expression" dxfId="59" priority="120">
      <formula>$J4="B"</formula>
    </cfRule>
    <cfRule type="expression" dxfId="58" priority="121">
      <formula>$J4="A"</formula>
    </cfRule>
  </conditionalFormatting>
  <conditionalFormatting sqref="A42:J52 L3:R33">
    <cfRule type="expression" dxfId="57" priority="114">
      <formula>$J3="X"</formula>
    </cfRule>
    <cfRule type="expression" dxfId="56" priority="115">
      <formula>$J3="C"</formula>
    </cfRule>
    <cfRule type="expression" dxfId="55" priority="116">
      <formula>$J3="B"</formula>
    </cfRule>
    <cfRule type="expression" dxfId="54" priority="117">
      <formula>$J3="A"</formula>
    </cfRule>
  </conditionalFormatting>
  <conditionalFormatting sqref="L42:L52">
    <cfRule type="expression" dxfId="53" priority="111">
      <formula>$J42="C"</formula>
    </cfRule>
    <cfRule type="expression" dxfId="52" priority="112">
      <formula>$J42="B"</formula>
    </cfRule>
    <cfRule type="expression" dxfId="51" priority="113">
      <formula>$J42="A"</formula>
    </cfRule>
  </conditionalFormatting>
  <conditionalFormatting sqref="L42:L52">
    <cfRule type="expression" dxfId="50" priority="107">
      <formula>$J42="X"</formula>
    </cfRule>
    <cfRule type="expression" dxfId="49" priority="108">
      <formula>$J42="C"</formula>
    </cfRule>
    <cfRule type="expression" dxfId="48" priority="109">
      <formula>$J42="B"</formula>
    </cfRule>
    <cfRule type="expression" dxfId="47" priority="110">
      <formula>$J42="A"</formula>
    </cfRule>
  </conditionalFormatting>
  <conditionalFormatting sqref="A42:J52 L42:L52">
    <cfRule type="expression" dxfId="46" priority="132">
      <formula>#REF!="X"</formula>
    </cfRule>
    <cfRule type="expression" dxfId="45" priority="133">
      <formula>$J42="C"</formula>
    </cfRule>
    <cfRule type="expression" dxfId="44" priority="134">
      <formula>$J42="B"</formula>
    </cfRule>
    <cfRule type="expression" dxfId="43" priority="135">
      <formula>$J42="A"</formula>
    </cfRule>
  </conditionalFormatting>
  <conditionalFormatting sqref="L4:R33">
    <cfRule type="expression" dxfId="42" priority="94">
      <formula>$J$2="X"</formula>
    </cfRule>
    <cfRule type="expression" dxfId="41" priority="95">
      <formula>$J4="C"</formula>
    </cfRule>
    <cfRule type="expression" dxfId="40" priority="96">
      <formula>$J4="B"</formula>
    </cfRule>
    <cfRule type="expression" dxfId="39" priority="97">
      <formula>$J4="A"</formula>
    </cfRule>
  </conditionalFormatting>
  <conditionalFormatting sqref="S32">
    <cfRule type="expression" dxfId="38" priority="86">
      <formula>$J32="C"</formula>
    </cfRule>
    <cfRule type="expression" dxfId="37" priority="87">
      <formula>$J32="B"</formula>
    </cfRule>
    <cfRule type="expression" dxfId="36" priority="88">
      <formula>$J32="A"</formula>
    </cfRule>
  </conditionalFormatting>
  <conditionalFormatting sqref="S32">
    <cfRule type="expression" dxfId="35" priority="82">
      <formula>$J$2="X"</formula>
    </cfRule>
    <cfRule type="expression" dxfId="34" priority="83">
      <formula>$J32="C"</formula>
    </cfRule>
    <cfRule type="expression" dxfId="33" priority="84">
      <formula>$J32="B"</formula>
    </cfRule>
    <cfRule type="expression" dxfId="32" priority="85">
      <formula>$J32="A"</formula>
    </cfRule>
  </conditionalFormatting>
  <conditionalFormatting sqref="S32">
    <cfRule type="expression" dxfId="31" priority="78">
      <formula>$J32="X"</formula>
    </cfRule>
    <cfRule type="expression" dxfId="30" priority="79">
      <formula>$J32="C"</formula>
    </cfRule>
    <cfRule type="expression" dxfId="29" priority="80">
      <formula>$J32="B"</formula>
    </cfRule>
    <cfRule type="expression" dxfId="28" priority="81">
      <formula>$J32="A"</formula>
    </cfRule>
  </conditionalFormatting>
  <conditionalFormatting sqref="S33">
    <cfRule type="expression" dxfId="27" priority="75">
      <formula>$J33="C"</formula>
    </cfRule>
    <cfRule type="expression" dxfId="26" priority="76">
      <formula>$J33="B"</formula>
    </cfRule>
    <cfRule type="expression" dxfId="25" priority="77">
      <formula>$J33="A"</formula>
    </cfRule>
  </conditionalFormatting>
  <conditionalFormatting sqref="S33">
    <cfRule type="expression" dxfId="24" priority="71">
      <formula>$J$2="X"</formula>
    </cfRule>
    <cfRule type="expression" dxfId="23" priority="72">
      <formula>$J33="C"</formula>
    </cfRule>
    <cfRule type="expression" dxfId="22" priority="73">
      <formula>$J33="B"</formula>
    </cfRule>
    <cfRule type="expression" dxfId="21" priority="74">
      <formula>$J33="A"</formula>
    </cfRule>
  </conditionalFormatting>
  <conditionalFormatting sqref="S33">
    <cfRule type="expression" dxfId="20" priority="67">
      <formula>$J33="X"</formula>
    </cfRule>
    <cfRule type="expression" dxfId="19" priority="68">
      <formula>$J33="C"</formula>
    </cfRule>
    <cfRule type="expression" dxfId="18" priority="69">
      <formula>$J33="B"</formula>
    </cfRule>
    <cfRule type="expression" dxfId="17" priority="70">
      <formula>$J33="A"</formula>
    </cfRule>
  </conditionalFormatting>
  <conditionalFormatting sqref="L34:R40">
    <cfRule type="expression" dxfId="16" priority="216">
      <formula>$R34="X"</formula>
    </cfRule>
    <cfRule type="expression" dxfId="15" priority="217">
      <formula>$R34="C"</formula>
    </cfRule>
    <cfRule type="expression" dxfId="14" priority="218">
      <formula>$R34="B"</formula>
    </cfRule>
    <cfRule type="expression" dxfId="13" priority="219">
      <formula>$R34="A"</formula>
    </cfRule>
  </conditionalFormatting>
  <conditionalFormatting sqref="L34:R40">
    <cfRule type="expression" dxfId="12" priority="224">
      <formula>$R34="C"</formula>
    </cfRule>
    <cfRule type="expression" dxfId="11" priority="225">
      <formula>$R34="B"</formula>
    </cfRule>
    <cfRule type="expression" dxfId="10" priority="226">
      <formula>$R34="A"</formula>
    </cfRule>
  </conditionalFormatting>
  <conditionalFormatting sqref="L34:R40">
    <cfRule type="expression" dxfId="9" priority="230">
      <formula>#REF!="X"</formula>
    </cfRule>
    <cfRule type="expression" dxfId="8" priority="231">
      <formula>$R34="C"</formula>
    </cfRule>
    <cfRule type="expression" dxfId="7" priority="232">
      <formula>$R34="B"</formula>
    </cfRule>
    <cfRule type="expression" dxfId="6" priority="233">
      <formula>$R34="A"</formula>
    </cfRule>
  </conditionalFormatting>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04" id="{B2186CC3-60CA-A44B-88FA-EEB22457C686}">
            <xm:f>'Sona:Users:Nathan:Dropbox:Documents:Coding:NCA Site:NCA v1:results:Season11:[2018 Belleville Crokinole Challenge Results FINAL.xlsm]ShowAMResults'!#REF!="C"</xm:f>
            <x14:dxf>
              <fill>
                <patternFill>
                  <bgColor theme="9" tint="0.39994506668294322"/>
                </patternFill>
              </fill>
            </x14:dxf>
          </x14:cfRule>
          <x14:cfRule type="expression" priority="105" id="{84B4B9DA-A56C-FF40-91CC-88A4CA686B45}">
            <xm:f>'Sona:Users:Nathan:Dropbox:Documents:Coding:NCA Site:NCA v1:results:Season11:[2018 Belleville Crokinole Challenge Results FINAL.xlsm]ShowAMResults'!#REF!="B"</xm:f>
            <x14:dxf>
              <fill>
                <patternFill>
                  <bgColor theme="6" tint="0.39994506668294322"/>
                </patternFill>
              </fill>
            </x14:dxf>
          </x14:cfRule>
          <x14:cfRule type="expression" priority="106" id="{FF87F1F4-78A5-6440-B38C-020DBF23D4B3}">
            <xm:f>'Sona:Users:Nathan:Dropbox:Documents:Coding:NCA Site:NCA v1:results:Season11:[2018 Belleville Crokinole Challenge Results FINAL.xlsm]ShowAMResults'!#REF!="A"</xm:f>
            <x14:dxf>
              <fill>
                <patternFill>
                  <bgColor theme="3" tint="0.79998168889431442"/>
                </patternFill>
              </fill>
            </x14:dxf>
          </x14:cfRule>
          <xm:sqref>A3:J41</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topLeftCell="C16" workbookViewId="0">
      <selection activeCell="Z39" sqref="Z39"/>
    </sheetView>
  </sheetViews>
  <sheetFormatPr baseColWidth="10" defaultRowHeight="15" x14ac:dyDescent="0"/>
  <cols>
    <col min="1" max="1" width="40.6640625" customWidth="1"/>
    <col min="2" max="3" width="7.6640625" customWidth="1"/>
    <col min="4" max="5" width="4.6640625" customWidth="1"/>
    <col min="7" max="7" width="28.6640625" customWidth="1"/>
    <col min="8" max="9" width="7.6640625" customWidth="1"/>
    <col min="10" max="11" width="4.6640625" customWidth="1"/>
    <col min="12" max="12" width="28.6640625" customWidth="1"/>
    <col min="13" max="14" width="7.6640625" customWidth="1"/>
    <col min="15" max="15" width="4.6640625" style="118" customWidth="1"/>
    <col min="17" max="17" width="23.83203125" customWidth="1"/>
    <col min="20" max="20" width="3.6640625" customWidth="1"/>
    <col min="22" max="22" width="18.5" customWidth="1"/>
    <col min="23" max="24" width="7.6640625" customWidth="1"/>
    <col min="26" max="26" width="18.5" customWidth="1"/>
    <col min="27" max="27" width="10" style="118" customWidth="1"/>
    <col min="28" max="28" width="11.5" customWidth="1"/>
  </cols>
  <sheetData>
    <row r="1" spans="1:28" ht="16" thickBot="1">
      <c r="A1" s="522" t="s">
        <v>229</v>
      </c>
      <c r="B1" s="522"/>
      <c r="C1" s="522"/>
      <c r="D1" s="522"/>
      <c r="E1" s="522"/>
      <c r="G1" s="522" t="s">
        <v>253</v>
      </c>
      <c r="H1" s="522"/>
      <c r="I1" s="522"/>
      <c r="J1" s="522"/>
      <c r="K1" s="522"/>
      <c r="L1" s="522"/>
      <c r="M1" s="522"/>
      <c r="N1" s="522"/>
      <c r="O1" s="522"/>
      <c r="Q1" s="522" t="s">
        <v>263</v>
      </c>
      <c r="R1" s="522"/>
      <c r="S1" s="522"/>
      <c r="T1" s="522"/>
      <c r="U1" s="522"/>
      <c r="V1" s="522"/>
      <c r="W1" s="522"/>
      <c r="X1" s="522"/>
    </row>
    <row r="2" spans="1:28" ht="26" thickBot="1">
      <c r="A2" s="188" t="s">
        <v>230</v>
      </c>
      <c r="B2" s="189" t="s">
        <v>28</v>
      </c>
      <c r="C2" s="190" t="s">
        <v>1</v>
      </c>
      <c r="D2" s="191"/>
      <c r="E2" s="118"/>
      <c r="G2" s="188" t="s">
        <v>230</v>
      </c>
      <c r="H2" s="189" t="s">
        <v>28</v>
      </c>
      <c r="I2" s="190" t="s">
        <v>1</v>
      </c>
      <c r="L2" s="188" t="s">
        <v>230</v>
      </c>
      <c r="M2" s="189" t="s">
        <v>28</v>
      </c>
      <c r="N2" s="190" t="s">
        <v>1</v>
      </c>
      <c r="Q2" s="523" t="s">
        <v>264</v>
      </c>
      <c r="R2" s="524"/>
      <c r="S2" s="525"/>
      <c r="T2" s="184"/>
      <c r="U2" s="523" t="s">
        <v>265</v>
      </c>
      <c r="V2" s="524"/>
      <c r="W2" s="525"/>
      <c r="X2" s="328"/>
      <c r="Z2" s="131" t="s">
        <v>13</v>
      </c>
      <c r="AA2" s="131" t="s">
        <v>15</v>
      </c>
    </row>
    <row r="3" spans="1:28" ht="19" thickBot="1">
      <c r="A3" s="192" t="s">
        <v>46</v>
      </c>
      <c r="B3" s="193">
        <v>48</v>
      </c>
      <c r="C3" s="194">
        <v>61</v>
      </c>
      <c r="D3" s="195"/>
      <c r="E3" s="196">
        <v>1</v>
      </c>
      <c r="G3" s="274" t="s">
        <v>36</v>
      </c>
      <c r="H3" s="275">
        <v>36</v>
      </c>
      <c r="I3" s="276">
        <v>109</v>
      </c>
      <c r="J3" s="195"/>
      <c r="L3" s="277" t="s">
        <v>254</v>
      </c>
      <c r="M3" s="278">
        <v>43</v>
      </c>
      <c r="N3" s="279">
        <v>78</v>
      </c>
      <c r="O3" s="215"/>
      <c r="Q3" s="188" t="s">
        <v>230</v>
      </c>
      <c r="R3" s="189" t="s">
        <v>28</v>
      </c>
      <c r="S3" s="190" t="s">
        <v>1</v>
      </c>
      <c r="T3" s="329"/>
      <c r="U3" s="513" t="s">
        <v>266</v>
      </c>
      <c r="V3" s="514"/>
      <c r="W3" s="515"/>
      <c r="X3" s="330"/>
      <c r="Z3" s="143" t="str">
        <f>V4</f>
        <v>Connor Reinman</v>
      </c>
      <c r="AA3" s="1">
        <v>50</v>
      </c>
    </row>
    <row r="4" spans="1:28">
      <c r="A4" s="197" t="s">
        <v>33</v>
      </c>
      <c r="B4" s="198">
        <v>47</v>
      </c>
      <c r="C4" s="199">
        <v>55</v>
      </c>
      <c r="D4" s="200"/>
      <c r="E4" s="201">
        <v>2</v>
      </c>
      <c r="G4" s="280" t="s">
        <v>34</v>
      </c>
      <c r="H4" s="281">
        <v>35</v>
      </c>
      <c r="I4" s="282">
        <v>101</v>
      </c>
      <c r="J4" s="200"/>
      <c r="L4" s="283" t="s">
        <v>255</v>
      </c>
      <c r="M4" s="284">
        <v>42</v>
      </c>
      <c r="N4" s="285">
        <v>88</v>
      </c>
      <c r="O4" s="220"/>
      <c r="Q4" s="331" t="s">
        <v>34</v>
      </c>
      <c r="R4" s="332">
        <v>18</v>
      </c>
      <c r="S4" s="202">
        <v>53</v>
      </c>
      <c r="T4" s="184"/>
      <c r="U4" s="333" t="s">
        <v>267</v>
      </c>
      <c r="V4" s="334" t="s">
        <v>34</v>
      </c>
      <c r="W4" s="335"/>
      <c r="X4" s="336">
        <v>10</v>
      </c>
      <c r="Z4" s="143" t="str">
        <f>V5</f>
        <v>Andrew Hutchinson</v>
      </c>
      <c r="AA4" s="1">
        <v>47</v>
      </c>
    </row>
    <row r="5" spans="1:28" ht="16" thickBot="1">
      <c r="A5" s="197" t="s">
        <v>30</v>
      </c>
      <c r="B5" s="198">
        <v>46</v>
      </c>
      <c r="C5" s="199">
        <v>75</v>
      </c>
      <c r="D5" s="200"/>
      <c r="E5" s="201">
        <v>3</v>
      </c>
      <c r="G5" s="280" t="s">
        <v>256</v>
      </c>
      <c r="H5" s="281">
        <v>33</v>
      </c>
      <c r="I5" s="282">
        <v>77</v>
      </c>
      <c r="J5" s="200"/>
      <c r="L5" s="283" t="s">
        <v>257</v>
      </c>
      <c r="M5" s="284">
        <v>29</v>
      </c>
      <c r="N5" s="285">
        <v>65</v>
      </c>
      <c r="O5" s="220"/>
      <c r="Q5" s="331" t="s">
        <v>36</v>
      </c>
      <c r="R5" s="332">
        <v>14</v>
      </c>
      <c r="S5" s="202">
        <v>50</v>
      </c>
      <c r="T5" s="184"/>
      <c r="U5" s="333" t="s">
        <v>268</v>
      </c>
      <c r="V5" s="334" t="s">
        <v>36</v>
      </c>
      <c r="W5" s="335"/>
      <c r="X5" s="337">
        <v>0</v>
      </c>
      <c r="Z5" s="143" t="str">
        <f>Q6</f>
        <v>Roger Vaillancourt</v>
      </c>
      <c r="AA5" s="1">
        <v>45</v>
      </c>
    </row>
    <row r="6" spans="1:28" ht="18">
      <c r="A6" s="197" t="s">
        <v>34</v>
      </c>
      <c r="B6" s="198">
        <v>44</v>
      </c>
      <c r="C6" s="199">
        <v>85</v>
      </c>
      <c r="D6" s="202" t="s">
        <v>211</v>
      </c>
      <c r="E6" s="201">
        <v>4</v>
      </c>
      <c r="G6" s="280" t="s">
        <v>35</v>
      </c>
      <c r="H6" s="281">
        <v>27</v>
      </c>
      <c r="I6" s="282">
        <v>80</v>
      </c>
      <c r="J6" s="286" t="s">
        <v>211</v>
      </c>
      <c r="L6" s="287" t="s">
        <v>258</v>
      </c>
      <c r="M6" s="284">
        <v>29</v>
      </c>
      <c r="N6" s="285">
        <v>58</v>
      </c>
      <c r="O6" s="220"/>
      <c r="Q6" s="338" t="s">
        <v>33</v>
      </c>
      <c r="R6" s="339">
        <v>10</v>
      </c>
      <c r="S6" s="340">
        <v>43</v>
      </c>
      <c r="T6" s="184"/>
      <c r="U6" s="341"/>
      <c r="V6" s="165"/>
      <c r="W6" s="342"/>
      <c r="X6" s="165"/>
      <c r="Z6" s="143" t="str">
        <f>Q7</f>
        <v>Jeremy Tracey</v>
      </c>
      <c r="AA6" s="1">
        <v>43</v>
      </c>
    </row>
    <row r="7" spans="1:28" ht="19" thickBot="1">
      <c r="A7" s="197" t="s">
        <v>36</v>
      </c>
      <c r="B7" s="198">
        <v>42</v>
      </c>
      <c r="C7" s="199">
        <v>76</v>
      </c>
      <c r="D7" s="200"/>
      <c r="E7" s="201">
        <v>5</v>
      </c>
      <c r="G7" s="288" t="s">
        <v>42</v>
      </c>
      <c r="H7" s="132">
        <v>26</v>
      </c>
      <c r="I7" s="289">
        <v>67</v>
      </c>
      <c r="J7" s="200"/>
      <c r="L7" s="288" t="s">
        <v>217</v>
      </c>
      <c r="M7" s="132">
        <v>26</v>
      </c>
      <c r="N7" s="289">
        <v>62</v>
      </c>
      <c r="O7" s="290" t="s">
        <v>214</v>
      </c>
      <c r="Q7" s="343" t="s">
        <v>35</v>
      </c>
      <c r="R7" s="344">
        <v>6</v>
      </c>
      <c r="S7" s="345">
        <v>2</v>
      </c>
      <c r="T7" s="346"/>
      <c r="U7" s="347"/>
      <c r="V7" s="348"/>
      <c r="W7" s="349"/>
      <c r="X7" s="165"/>
      <c r="Z7" s="143" t="str">
        <f>G7</f>
        <v>Ron Langill</v>
      </c>
      <c r="AA7" s="1">
        <v>41</v>
      </c>
    </row>
    <row r="8" spans="1:28" ht="16" thickBot="1">
      <c r="A8" s="197" t="s">
        <v>42</v>
      </c>
      <c r="B8" s="198">
        <v>41</v>
      </c>
      <c r="C8" s="199">
        <v>55</v>
      </c>
      <c r="D8" s="200"/>
      <c r="E8" s="201">
        <v>6</v>
      </c>
      <c r="G8" s="288" t="s">
        <v>30</v>
      </c>
      <c r="H8" s="132">
        <v>24</v>
      </c>
      <c r="I8" s="289">
        <v>68</v>
      </c>
      <c r="J8" s="200"/>
      <c r="L8" s="288" t="s">
        <v>105</v>
      </c>
      <c r="M8" s="132">
        <v>23</v>
      </c>
      <c r="N8" s="289">
        <v>72</v>
      </c>
      <c r="O8" s="220"/>
      <c r="T8" s="118"/>
      <c r="U8" s="184"/>
      <c r="Z8" s="143" t="str">
        <f t="shared" ref="Z8:Z10" si="0">G8</f>
        <v>Peter Carter</v>
      </c>
      <c r="AA8" s="1">
        <v>40</v>
      </c>
    </row>
    <row r="9" spans="1:28" ht="19" thickBot="1">
      <c r="A9" s="197" t="s">
        <v>35</v>
      </c>
      <c r="B9" s="198">
        <v>38</v>
      </c>
      <c r="C9" s="199">
        <v>78</v>
      </c>
      <c r="D9" s="200"/>
      <c r="E9" s="201">
        <v>7</v>
      </c>
      <c r="G9" s="288" t="s">
        <v>46</v>
      </c>
      <c r="H9" s="132">
        <v>23</v>
      </c>
      <c r="I9" s="289">
        <v>67</v>
      </c>
      <c r="J9" s="200"/>
      <c r="L9" s="288" t="s">
        <v>173</v>
      </c>
      <c r="M9" s="132">
        <v>18</v>
      </c>
      <c r="N9" s="289">
        <v>62</v>
      </c>
      <c r="O9" s="220"/>
      <c r="Q9" s="188" t="s">
        <v>230</v>
      </c>
      <c r="R9" s="189" t="s">
        <v>28</v>
      </c>
      <c r="S9" s="190" t="s">
        <v>1</v>
      </c>
      <c r="T9" s="329"/>
      <c r="U9" s="513" t="s">
        <v>269</v>
      </c>
      <c r="V9" s="514"/>
      <c r="W9" s="515"/>
      <c r="X9" s="339"/>
      <c r="Z9" s="143" t="str">
        <f t="shared" si="0"/>
        <v>Darren Carr</v>
      </c>
      <c r="AA9" s="1">
        <v>39</v>
      </c>
    </row>
    <row r="10" spans="1:28" ht="16" thickBot="1">
      <c r="A10" s="203" t="s">
        <v>121</v>
      </c>
      <c r="B10" s="204">
        <v>37</v>
      </c>
      <c r="C10" s="205">
        <v>52</v>
      </c>
      <c r="D10" s="206"/>
      <c r="E10" s="207">
        <v>8</v>
      </c>
      <c r="G10" s="291" t="s">
        <v>121</v>
      </c>
      <c r="H10" s="292">
        <v>20</v>
      </c>
      <c r="I10" s="293">
        <v>70</v>
      </c>
      <c r="J10" s="206"/>
      <c r="L10" s="294" t="s">
        <v>232</v>
      </c>
      <c r="M10" s="292">
        <v>14</v>
      </c>
      <c r="N10" s="293">
        <v>56</v>
      </c>
      <c r="O10" s="227"/>
      <c r="Q10" s="331" t="s">
        <v>254</v>
      </c>
      <c r="R10" s="332">
        <v>18</v>
      </c>
      <c r="S10" s="202">
        <v>35</v>
      </c>
      <c r="U10" s="341" t="s">
        <v>267</v>
      </c>
      <c r="V10" s="334" t="s">
        <v>39</v>
      </c>
      <c r="W10" s="350"/>
      <c r="X10" s="261">
        <v>10</v>
      </c>
      <c r="Z10" s="143" t="str">
        <f t="shared" si="0"/>
        <v>Dan Hepburn</v>
      </c>
      <c r="AA10" s="1">
        <v>38</v>
      </c>
    </row>
    <row r="11" spans="1:28" ht="16" thickBot="1">
      <c r="A11" s="208"/>
      <c r="B11" s="209"/>
      <c r="C11" s="210"/>
      <c r="D11" s="211"/>
      <c r="E11" s="201"/>
      <c r="O11"/>
      <c r="Q11" s="331" t="s">
        <v>257</v>
      </c>
      <c r="R11" s="332">
        <v>14</v>
      </c>
      <c r="S11" s="202">
        <v>28</v>
      </c>
      <c r="U11" s="341" t="s">
        <v>268</v>
      </c>
      <c r="V11" s="334" t="s">
        <v>233</v>
      </c>
      <c r="W11" s="350"/>
      <c r="X11" s="351">
        <v>8</v>
      </c>
      <c r="Z11" s="143" t="str">
        <f>V10</f>
        <v>Raymond Kappes</v>
      </c>
      <c r="AA11" s="1">
        <f>37+2</f>
        <v>39</v>
      </c>
      <c r="AB11" s="186" t="s">
        <v>227</v>
      </c>
    </row>
    <row r="12" spans="1:28" ht="18" thickBot="1">
      <c r="A12" s="212" t="s">
        <v>105</v>
      </c>
      <c r="B12" s="213">
        <v>35</v>
      </c>
      <c r="C12" s="214">
        <v>70</v>
      </c>
      <c r="D12" s="215"/>
      <c r="E12" s="216">
        <v>1</v>
      </c>
      <c r="G12" s="188" t="s">
        <v>230</v>
      </c>
      <c r="H12" s="189" t="s">
        <v>28</v>
      </c>
      <c r="I12" s="190" t="s">
        <v>1</v>
      </c>
      <c r="L12" s="188" t="s">
        <v>230</v>
      </c>
      <c r="M12" s="189" t="s">
        <v>28</v>
      </c>
      <c r="N12" s="190" t="s">
        <v>1</v>
      </c>
      <c r="Q12" s="338" t="s">
        <v>2</v>
      </c>
      <c r="R12" s="339">
        <v>14</v>
      </c>
      <c r="S12" s="340">
        <v>27</v>
      </c>
      <c r="T12" s="177"/>
      <c r="U12" s="341"/>
      <c r="V12" s="165"/>
      <c r="W12" s="342"/>
      <c r="X12" s="181"/>
      <c r="Z12" s="143" t="str">
        <f>V11</f>
        <v>Neil Cook</v>
      </c>
      <c r="AA12" s="1">
        <f>36+1</f>
        <v>37</v>
      </c>
      <c r="AB12" s="186" t="s">
        <v>228</v>
      </c>
    </row>
    <row r="13" spans="1:28" ht="16" thickBot="1">
      <c r="A13" s="217" t="s">
        <v>231</v>
      </c>
      <c r="B13" s="218">
        <v>35</v>
      </c>
      <c r="C13" s="219">
        <v>53</v>
      </c>
      <c r="D13" s="220"/>
      <c r="E13" s="216">
        <v>2</v>
      </c>
      <c r="G13" s="295" t="s">
        <v>103</v>
      </c>
      <c r="H13" s="296">
        <v>36</v>
      </c>
      <c r="I13" s="297">
        <v>60</v>
      </c>
      <c r="J13" s="232"/>
      <c r="L13" s="298" t="s">
        <v>259</v>
      </c>
      <c r="M13" s="299">
        <v>35</v>
      </c>
      <c r="N13" s="300">
        <v>35</v>
      </c>
      <c r="O13" s="301"/>
      <c r="Q13" s="343" t="s">
        <v>231</v>
      </c>
      <c r="R13" s="344">
        <v>2</v>
      </c>
      <c r="S13" s="345">
        <v>20</v>
      </c>
      <c r="T13" s="352"/>
      <c r="U13" s="347"/>
      <c r="V13" s="348"/>
      <c r="W13" s="349"/>
      <c r="X13" s="181"/>
      <c r="Z13" s="143" t="str">
        <f>Q12</f>
        <v>Ray Beierling</v>
      </c>
      <c r="AA13" s="1">
        <v>35</v>
      </c>
      <c r="AB13" s="160"/>
    </row>
    <row r="14" spans="1:28" ht="16" thickBot="1">
      <c r="A14" s="217" t="s">
        <v>232</v>
      </c>
      <c r="B14" s="218">
        <v>35</v>
      </c>
      <c r="C14" s="219">
        <v>40</v>
      </c>
      <c r="D14" s="220"/>
      <c r="E14" s="216">
        <v>3</v>
      </c>
      <c r="G14" s="302" t="s">
        <v>4</v>
      </c>
      <c r="H14" s="303">
        <v>34</v>
      </c>
      <c r="I14" s="304">
        <v>66</v>
      </c>
      <c r="J14" s="237"/>
      <c r="L14" s="305" t="s">
        <v>260</v>
      </c>
      <c r="M14" s="306">
        <v>34</v>
      </c>
      <c r="N14" s="307">
        <v>42</v>
      </c>
      <c r="O14" s="308"/>
      <c r="T14" s="119"/>
      <c r="U14" s="118"/>
      <c r="X14" s="119"/>
      <c r="Z14" s="143" t="str">
        <f>Q13</f>
        <v>Carol Cook</v>
      </c>
      <c r="AA14" s="1">
        <f>34</f>
        <v>34</v>
      </c>
      <c r="AB14" s="160"/>
    </row>
    <row r="15" spans="1:28" ht="19" thickBot="1">
      <c r="A15" s="221" t="s">
        <v>233</v>
      </c>
      <c r="B15" s="218">
        <v>34</v>
      </c>
      <c r="C15" s="219">
        <v>67</v>
      </c>
      <c r="D15" s="220"/>
      <c r="E15" s="216">
        <v>4</v>
      </c>
      <c r="G15" s="302" t="s">
        <v>5</v>
      </c>
      <c r="H15" s="303">
        <v>33</v>
      </c>
      <c r="I15" s="304">
        <v>67</v>
      </c>
      <c r="J15" s="237"/>
      <c r="L15" s="305" t="s">
        <v>208</v>
      </c>
      <c r="M15" s="306">
        <v>30</v>
      </c>
      <c r="N15" s="307">
        <v>37</v>
      </c>
      <c r="O15" s="308"/>
      <c r="Q15" s="188" t="s">
        <v>230</v>
      </c>
      <c r="R15" s="189" t="s">
        <v>28</v>
      </c>
      <c r="S15" s="189" t="s">
        <v>1</v>
      </c>
      <c r="T15" s="329"/>
      <c r="U15" s="513" t="s">
        <v>270</v>
      </c>
      <c r="V15" s="514"/>
      <c r="W15" s="515"/>
      <c r="X15" s="330"/>
      <c r="Z15" s="143" t="str">
        <f>L7</f>
        <v>Philip Ware</v>
      </c>
      <c r="AA15" s="1">
        <v>33</v>
      </c>
      <c r="AB15" s="160"/>
    </row>
    <row r="16" spans="1:28" ht="18">
      <c r="A16" s="217" t="s">
        <v>217</v>
      </c>
      <c r="B16" s="218">
        <v>34</v>
      </c>
      <c r="C16" s="219">
        <v>48</v>
      </c>
      <c r="D16" s="222" t="s">
        <v>214</v>
      </c>
      <c r="E16" s="223">
        <v>5</v>
      </c>
      <c r="G16" s="302" t="s">
        <v>50</v>
      </c>
      <c r="H16" s="303">
        <v>29</v>
      </c>
      <c r="I16" s="304">
        <v>50</v>
      </c>
      <c r="J16" s="237"/>
      <c r="L16" s="305" t="s">
        <v>238</v>
      </c>
      <c r="M16" s="306">
        <v>28</v>
      </c>
      <c r="N16" s="307">
        <v>34</v>
      </c>
      <c r="O16" s="309" t="s">
        <v>239</v>
      </c>
      <c r="Q16" s="331" t="s">
        <v>5</v>
      </c>
      <c r="R16" s="332">
        <v>18</v>
      </c>
      <c r="S16" s="332">
        <v>33</v>
      </c>
      <c r="T16" s="118"/>
      <c r="U16" s="353" t="s">
        <v>267</v>
      </c>
      <c r="V16" s="334" t="s">
        <v>5</v>
      </c>
      <c r="W16" s="342"/>
      <c r="X16" s="354">
        <v>9</v>
      </c>
      <c r="Z16" s="143" t="str">
        <f t="shared" ref="Z16:Z18" si="1">L8</f>
        <v>Simon Dowrick</v>
      </c>
      <c r="AA16" s="1">
        <v>32</v>
      </c>
      <c r="AB16" s="160"/>
    </row>
    <row r="17" spans="1:28" ht="19" thickBot="1">
      <c r="A17" s="217" t="s">
        <v>173</v>
      </c>
      <c r="B17" s="218">
        <v>33</v>
      </c>
      <c r="C17" s="219">
        <v>68</v>
      </c>
      <c r="D17" s="220"/>
      <c r="E17" s="216">
        <v>6</v>
      </c>
      <c r="G17" s="288" t="s">
        <v>8</v>
      </c>
      <c r="H17" s="132">
        <v>28</v>
      </c>
      <c r="I17" s="289">
        <v>49</v>
      </c>
      <c r="J17" s="310" t="s">
        <v>220</v>
      </c>
      <c r="L17" s="288" t="s">
        <v>240</v>
      </c>
      <c r="M17" s="289">
        <v>27</v>
      </c>
      <c r="N17" s="311">
        <v>34</v>
      </c>
      <c r="O17" s="308"/>
      <c r="Q17" s="331" t="s">
        <v>4</v>
      </c>
      <c r="R17" s="332">
        <v>14</v>
      </c>
      <c r="S17" s="332">
        <v>32</v>
      </c>
      <c r="T17" s="118"/>
      <c r="U17" s="353" t="s">
        <v>268</v>
      </c>
      <c r="V17" s="334" t="s">
        <v>4</v>
      </c>
      <c r="W17" s="342"/>
      <c r="X17" s="273">
        <v>3</v>
      </c>
      <c r="Z17" s="143" t="str">
        <f t="shared" si="1"/>
        <v>Beverly Vaillancourt</v>
      </c>
      <c r="AA17" s="1">
        <v>31</v>
      </c>
      <c r="AB17" s="160"/>
    </row>
    <row r="18" spans="1:28">
      <c r="A18" s="217" t="s">
        <v>39</v>
      </c>
      <c r="B18" s="218">
        <v>32</v>
      </c>
      <c r="C18" s="219">
        <v>65</v>
      </c>
      <c r="D18" s="220"/>
      <c r="E18" s="216">
        <v>7</v>
      </c>
      <c r="G18" s="288" t="s">
        <v>235</v>
      </c>
      <c r="H18" s="132">
        <v>25</v>
      </c>
      <c r="I18" s="289">
        <v>43</v>
      </c>
      <c r="J18" s="237"/>
      <c r="L18" s="288" t="s">
        <v>242</v>
      </c>
      <c r="M18" s="289">
        <v>27</v>
      </c>
      <c r="N18" s="311">
        <v>32</v>
      </c>
      <c r="O18" s="308"/>
      <c r="Q18" s="338" t="s">
        <v>103</v>
      </c>
      <c r="R18" s="339">
        <v>10</v>
      </c>
      <c r="S18" s="339">
        <v>25</v>
      </c>
      <c r="T18" s="184"/>
      <c r="U18" s="341"/>
      <c r="V18" s="165"/>
      <c r="W18" s="342"/>
      <c r="X18" s="165"/>
      <c r="Z18" s="143" t="str">
        <f t="shared" si="1"/>
        <v>Bernie Range</v>
      </c>
      <c r="AA18" s="1">
        <v>30</v>
      </c>
    </row>
    <row r="19" spans="1:28" ht="16" thickBot="1">
      <c r="A19" s="224" t="s">
        <v>2</v>
      </c>
      <c r="B19" s="225">
        <v>32</v>
      </c>
      <c r="C19" s="226">
        <v>62</v>
      </c>
      <c r="D19" s="227"/>
      <c r="E19" s="228">
        <v>8</v>
      </c>
      <c r="G19" s="288" t="s">
        <v>234</v>
      </c>
      <c r="H19" s="132">
        <v>22</v>
      </c>
      <c r="I19" s="289">
        <v>49</v>
      </c>
      <c r="J19" s="237"/>
      <c r="L19" s="288" t="s">
        <v>53</v>
      </c>
      <c r="M19" s="289">
        <v>24</v>
      </c>
      <c r="N19" s="311">
        <v>36</v>
      </c>
      <c r="O19" s="308"/>
      <c r="Q19" s="343" t="s">
        <v>50</v>
      </c>
      <c r="R19" s="344">
        <v>6</v>
      </c>
      <c r="S19" s="344">
        <v>26</v>
      </c>
      <c r="T19" s="346"/>
      <c r="U19" s="347"/>
      <c r="V19" s="348"/>
      <c r="W19" s="349"/>
      <c r="X19" s="165"/>
      <c r="Z19" s="143" t="str">
        <f>V16</f>
        <v>Jason Beierling</v>
      </c>
      <c r="AA19" s="1">
        <f>29+2</f>
        <v>31</v>
      </c>
      <c r="AB19" s="186" t="s">
        <v>227</v>
      </c>
    </row>
    <row r="20" spans="1:28" ht="16" thickBot="1">
      <c r="A20" s="208"/>
      <c r="B20" s="209"/>
      <c r="C20" s="210"/>
      <c r="D20" s="211"/>
      <c r="E20" s="216"/>
      <c r="G20" s="294" t="s">
        <v>221</v>
      </c>
      <c r="H20" s="292">
        <v>17</v>
      </c>
      <c r="I20" s="293">
        <v>45</v>
      </c>
      <c r="J20" s="242"/>
      <c r="L20" s="291" t="s">
        <v>237</v>
      </c>
      <c r="M20" s="293">
        <v>17</v>
      </c>
      <c r="N20" s="312">
        <v>28</v>
      </c>
      <c r="O20" s="313"/>
      <c r="T20" s="118"/>
      <c r="U20" s="118"/>
      <c r="Z20" s="143" t="str">
        <f>V17</f>
        <v>Nathan Walsh</v>
      </c>
      <c r="AA20" s="1">
        <f>28+1</f>
        <v>29</v>
      </c>
      <c r="AB20" s="186" t="s">
        <v>228</v>
      </c>
    </row>
    <row r="21" spans="1:28" ht="19" thickBot="1">
      <c r="A21" s="229" t="s">
        <v>234</v>
      </c>
      <c r="B21" s="230">
        <v>31</v>
      </c>
      <c r="C21" s="231">
        <v>64</v>
      </c>
      <c r="D21" s="232"/>
      <c r="E21" s="233">
        <v>1</v>
      </c>
      <c r="G21" s="314"/>
      <c r="H21" s="315"/>
      <c r="I21" s="315"/>
      <c r="J21" s="315"/>
      <c r="O21"/>
      <c r="Q21" s="188" t="s">
        <v>230</v>
      </c>
      <c r="R21" s="189" t="s">
        <v>28</v>
      </c>
      <c r="S21" s="189" t="s">
        <v>1</v>
      </c>
      <c r="T21" s="355"/>
      <c r="U21" s="516" t="s">
        <v>271</v>
      </c>
      <c r="V21" s="517"/>
      <c r="W21" s="518"/>
      <c r="X21" s="356"/>
      <c r="Z21" s="143" t="str">
        <f>Q18</f>
        <v>Josh Carrafiello</v>
      </c>
      <c r="AA21" s="1">
        <v>27</v>
      </c>
    </row>
    <row r="22" spans="1:28" ht="18" thickBot="1">
      <c r="A22" s="234" t="s">
        <v>235</v>
      </c>
      <c r="B22" s="235">
        <v>31</v>
      </c>
      <c r="C22" s="236">
        <v>58</v>
      </c>
      <c r="D22" s="237"/>
      <c r="E22" s="216">
        <v>2</v>
      </c>
      <c r="G22" s="188" t="s">
        <v>230</v>
      </c>
      <c r="H22" s="189" t="s">
        <v>28</v>
      </c>
      <c r="I22" s="190" t="s">
        <v>1</v>
      </c>
      <c r="J22" s="316"/>
      <c r="O22"/>
      <c r="Q22" s="331" t="s">
        <v>238</v>
      </c>
      <c r="R22" s="332">
        <v>13</v>
      </c>
      <c r="S22" s="332">
        <v>20</v>
      </c>
      <c r="U22" s="341" t="s">
        <v>267</v>
      </c>
      <c r="V22" s="334" t="s">
        <v>238</v>
      </c>
      <c r="W22" s="350"/>
      <c r="X22" s="336">
        <v>10</v>
      </c>
      <c r="Z22" s="143" t="str">
        <f>Q19</f>
        <v>Jeff McKeen</v>
      </c>
      <c r="AA22" s="1">
        <v>26</v>
      </c>
    </row>
    <row r="23" spans="1:28" ht="16" thickBot="1">
      <c r="A23" s="234" t="s">
        <v>103</v>
      </c>
      <c r="B23" s="235">
        <v>31</v>
      </c>
      <c r="C23" s="236">
        <v>53</v>
      </c>
      <c r="D23" s="237"/>
      <c r="E23" s="201">
        <v>3</v>
      </c>
      <c r="G23" s="317" t="s">
        <v>261</v>
      </c>
      <c r="H23" s="318">
        <v>40</v>
      </c>
      <c r="I23" s="319">
        <v>48</v>
      </c>
      <c r="J23" s="320"/>
      <c r="Q23" s="331" t="s">
        <v>208</v>
      </c>
      <c r="R23" s="332">
        <v>19</v>
      </c>
      <c r="S23" s="332">
        <v>27</v>
      </c>
      <c r="U23" s="341" t="s">
        <v>268</v>
      </c>
      <c r="V23" s="334" t="s">
        <v>208</v>
      </c>
      <c r="W23" s="350"/>
      <c r="X23" s="337">
        <v>8</v>
      </c>
      <c r="Z23" s="143" t="str">
        <f>G17</f>
        <v>Clare Kuepfer</v>
      </c>
      <c r="AA23" s="1">
        <v>25</v>
      </c>
    </row>
    <row r="24" spans="1:28">
      <c r="A24" s="234" t="s">
        <v>4</v>
      </c>
      <c r="B24" s="235">
        <v>30</v>
      </c>
      <c r="C24" s="236">
        <v>61</v>
      </c>
      <c r="D24" s="237"/>
      <c r="E24" s="201">
        <v>4</v>
      </c>
      <c r="G24" s="321" t="s">
        <v>252</v>
      </c>
      <c r="H24" s="322">
        <v>39</v>
      </c>
      <c r="I24" s="323">
        <v>42</v>
      </c>
      <c r="J24" s="324"/>
      <c r="Q24" s="338" t="s">
        <v>48</v>
      </c>
      <c r="R24" s="339">
        <v>11</v>
      </c>
      <c r="S24" s="339">
        <v>18</v>
      </c>
      <c r="T24" s="177"/>
      <c r="U24" s="341"/>
      <c r="V24" s="165"/>
      <c r="W24" s="342"/>
      <c r="X24" s="165"/>
      <c r="Z24" s="143" t="str">
        <f>G18</f>
        <v>Jennifer Carstairs</v>
      </c>
      <c r="AA24" s="1">
        <v>24</v>
      </c>
    </row>
    <row r="25" spans="1:28" ht="16" thickBot="1">
      <c r="A25" s="234" t="s">
        <v>236</v>
      </c>
      <c r="B25" s="235">
        <v>29</v>
      </c>
      <c r="C25" s="236">
        <v>60</v>
      </c>
      <c r="D25" s="238" t="s">
        <v>220</v>
      </c>
      <c r="E25" s="201">
        <v>5</v>
      </c>
      <c r="G25" s="321" t="s">
        <v>262</v>
      </c>
      <c r="H25" s="322">
        <v>35</v>
      </c>
      <c r="I25" s="323">
        <v>41</v>
      </c>
      <c r="J25" s="324"/>
      <c r="Q25" s="343" t="s">
        <v>241</v>
      </c>
      <c r="R25" s="344">
        <v>5</v>
      </c>
      <c r="S25" s="344">
        <v>19</v>
      </c>
      <c r="T25" s="352"/>
      <c r="U25" s="347"/>
      <c r="V25" s="348"/>
      <c r="W25" s="349"/>
      <c r="X25" s="165"/>
      <c r="Z25" s="143" t="str">
        <f>G19</f>
        <v>Kyle Vaillancourt</v>
      </c>
      <c r="AA25" s="1">
        <v>23</v>
      </c>
      <c r="AB25" s="160"/>
    </row>
    <row r="26" spans="1:28" ht="16" thickBot="1">
      <c r="A26" s="234" t="s">
        <v>5</v>
      </c>
      <c r="B26" s="235">
        <v>29</v>
      </c>
      <c r="C26" s="236">
        <v>58</v>
      </c>
      <c r="D26" s="237"/>
      <c r="E26" s="201">
        <v>6</v>
      </c>
      <c r="G26" s="325" t="s">
        <v>243</v>
      </c>
      <c r="H26" s="322">
        <v>34</v>
      </c>
      <c r="I26" s="323">
        <v>39</v>
      </c>
      <c r="J26" s="324"/>
      <c r="T26" s="118"/>
      <c r="U26" s="184"/>
      <c r="Z26" s="143" t="str">
        <f>G20</f>
        <v>Oliver Ware</v>
      </c>
      <c r="AA26" s="1">
        <v>22</v>
      </c>
    </row>
    <row r="27" spans="1:28" ht="19" thickBot="1">
      <c r="A27" s="234" t="s">
        <v>50</v>
      </c>
      <c r="B27" s="235">
        <v>29</v>
      </c>
      <c r="C27" s="236">
        <v>50</v>
      </c>
      <c r="D27" s="237"/>
      <c r="E27" s="201">
        <v>7</v>
      </c>
      <c r="G27" s="288" t="s">
        <v>423</v>
      </c>
      <c r="H27" s="132">
        <v>32</v>
      </c>
      <c r="I27" s="289">
        <v>42</v>
      </c>
      <c r="J27" s="324"/>
      <c r="Q27" s="188" t="s">
        <v>230</v>
      </c>
      <c r="R27" s="189" t="s">
        <v>28</v>
      </c>
      <c r="S27" s="189" t="s">
        <v>1</v>
      </c>
      <c r="T27" s="357"/>
      <c r="U27" s="519" t="s">
        <v>272</v>
      </c>
      <c r="V27" s="520"/>
      <c r="W27" s="521"/>
      <c r="X27" s="358"/>
      <c r="Z27" s="143" t="str">
        <f>V22</f>
        <v>Doreen Sulkye</v>
      </c>
      <c r="AA27" s="1">
        <f>21+2</f>
        <v>23</v>
      </c>
      <c r="AB27" s="186" t="s">
        <v>227</v>
      </c>
    </row>
    <row r="28" spans="1:28" ht="19" thickBot="1">
      <c r="A28" s="239" t="s">
        <v>8</v>
      </c>
      <c r="B28" s="240">
        <v>28</v>
      </c>
      <c r="C28" s="241">
        <v>60</v>
      </c>
      <c r="D28" s="242"/>
      <c r="E28" s="207">
        <v>8</v>
      </c>
      <c r="G28" s="288" t="s">
        <v>250</v>
      </c>
      <c r="H28" s="132">
        <v>29</v>
      </c>
      <c r="I28" s="289">
        <v>34</v>
      </c>
      <c r="J28" s="326" t="s">
        <v>245</v>
      </c>
      <c r="Q28" s="331" t="s">
        <v>261</v>
      </c>
      <c r="R28" s="332">
        <v>16</v>
      </c>
      <c r="S28" s="332">
        <v>18</v>
      </c>
      <c r="T28" s="118"/>
      <c r="U28" s="353" t="s">
        <v>267</v>
      </c>
      <c r="V28" s="334" t="s">
        <v>32</v>
      </c>
      <c r="W28" s="342"/>
      <c r="X28" s="359">
        <v>10</v>
      </c>
      <c r="Z28" s="143" t="str">
        <f>V23</f>
        <v>Gloria Walsh</v>
      </c>
      <c r="AA28" s="1">
        <f>20+1</f>
        <v>21</v>
      </c>
      <c r="AB28" s="186" t="s">
        <v>228</v>
      </c>
    </row>
    <row r="29" spans="1:28" ht="16" thickBot="1">
      <c r="A29" s="208"/>
      <c r="B29" s="209"/>
      <c r="C29" s="210"/>
      <c r="D29" s="177"/>
      <c r="E29" s="216"/>
      <c r="G29" s="288" t="s">
        <v>251</v>
      </c>
      <c r="H29" s="132">
        <v>28</v>
      </c>
      <c r="I29" s="289">
        <v>50</v>
      </c>
      <c r="J29" s="324"/>
      <c r="Q29" s="331" t="s">
        <v>262</v>
      </c>
      <c r="R29" s="332">
        <v>16</v>
      </c>
      <c r="S29" s="332">
        <v>18</v>
      </c>
      <c r="T29" s="118"/>
      <c r="U29" s="353" t="s">
        <v>268</v>
      </c>
      <c r="V29" s="334" t="s">
        <v>54</v>
      </c>
      <c r="W29" s="342"/>
      <c r="X29" s="360">
        <v>8</v>
      </c>
      <c r="Z29" s="143" t="str">
        <f>Q24</f>
        <v>Kathi Fisher</v>
      </c>
      <c r="AA29" s="1">
        <v>20</v>
      </c>
    </row>
    <row r="30" spans="1:28">
      <c r="A30" s="243" t="s">
        <v>48</v>
      </c>
      <c r="B30" s="244">
        <v>26</v>
      </c>
      <c r="C30" s="245">
        <v>50</v>
      </c>
      <c r="D30" s="246"/>
      <c r="E30" s="233">
        <v>1</v>
      </c>
      <c r="G30" s="288" t="s">
        <v>248</v>
      </c>
      <c r="H30" s="132">
        <v>25</v>
      </c>
      <c r="I30" s="289">
        <v>39</v>
      </c>
      <c r="J30" s="324"/>
      <c r="Q30" s="338" t="s">
        <v>243</v>
      </c>
      <c r="R30" s="339">
        <v>12</v>
      </c>
      <c r="S30" s="339">
        <v>19</v>
      </c>
      <c r="T30" s="184"/>
      <c r="U30" s="341"/>
      <c r="V30" s="165"/>
      <c r="W30" s="342"/>
      <c r="X30" s="165"/>
      <c r="Z30" s="143" t="str">
        <f>Q25</f>
        <v>Jim Roth</v>
      </c>
      <c r="AA30" s="1">
        <v>20</v>
      </c>
    </row>
    <row r="31" spans="1:28" ht="16" thickBot="1">
      <c r="A31" s="247" t="s">
        <v>237</v>
      </c>
      <c r="B31" s="248">
        <v>25</v>
      </c>
      <c r="C31" s="249">
        <v>36</v>
      </c>
      <c r="D31" s="250"/>
      <c r="E31" s="216">
        <v>2</v>
      </c>
      <c r="G31" s="288" t="s">
        <v>247</v>
      </c>
      <c r="H31" s="132">
        <v>24</v>
      </c>
      <c r="I31" s="289">
        <v>35</v>
      </c>
      <c r="J31" s="324"/>
      <c r="Q31" s="343" t="s">
        <v>252</v>
      </c>
      <c r="R31" s="344">
        <v>4</v>
      </c>
      <c r="S31" s="344">
        <v>14</v>
      </c>
      <c r="T31" s="346"/>
      <c r="U31" s="347"/>
      <c r="V31" s="348"/>
      <c r="W31" s="349"/>
      <c r="X31" s="165"/>
      <c r="Z31" s="143" t="str">
        <f>L17</f>
        <v>Carl Weins</v>
      </c>
      <c r="AA31" s="1">
        <v>20</v>
      </c>
    </row>
    <row r="32" spans="1:28">
      <c r="A32" s="247" t="s">
        <v>53</v>
      </c>
      <c r="B32" s="248">
        <v>24</v>
      </c>
      <c r="C32" s="249">
        <v>38</v>
      </c>
      <c r="D32" s="250"/>
      <c r="E32" s="201">
        <v>3</v>
      </c>
      <c r="G32" s="288" t="s">
        <v>244</v>
      </c>
      <c r="H32" s="132">
        <v>19</v>
      </c>
      <c r="I32" s="289">
        <v>23</v>
      </c>
      <c r="J32" s="324"/>
      <c r="Z32" s="143" t="str">
        <f>L18</f>
        <v>Maxine Whitmore</v>
      </c>
      <c r="AA32" s="1">
        <v>20</v>
      </c>
    </row>
    <row r="33" spans="1:28">
      <c r="A33" s="247" t="s">
        <v>238</v>
      </c>
      <c r="B33" s="248">
        <v>22</v>
      </c>
      <c r="C33" s="249">
        <v>52</v>
      </c>
      <c r="D33" s="251" t="s">
        <v>239</v>
      </c>
      <c r="E33" s="201">
        <v>4</v>
      </c>
      <c r="G33" s="288" t="s">
        <v>249</v>
      </c>
      <c r="H33" s="132">
        <v>18</v>
      </c>
      <c r="I33" s="289">
        <v>29</v>
      </c>
      <c r="J33" s="324"/>
      <c r="Z33" s="143" t="str">
        <f>L19</f>
        <v>Robin Piotto</v>
      </c>
      <c r="AA33" s="1">
        <v>20</v>
      </c>
    </row>
    <row r="34" spans="1:28" ht="16" thickBot="1">
      <c r="A34" s="247" t="s">
        <v>208</v>
      </c>
      <c r="B34" s="248">
        <v>22</v>
      </c>
      <c r="C34" s="249">
        <v>43</v>
      </c>
      <c r="D34" s="250"/>
      <c r="E34" s="201">
        <v>5</v>
      </c>
      <c r="G34" s="291" t="s">
        <v>246</v>
      </c>
      <c r="H34" s="292">
        <v>10</v>
      </c>
      <c r="I34" s="293">
        <v>20</v>
      </c>
      <c r="J34" s="327"/>
      <c r="Z34" s="143" t="str">
        <f>L20</f>
        <v>Evelyn Hodgkinson</v>
      </c>
      <c r="AA34" s="1">
        <v>20</v>
      </c>
    </row>
    <row r="35" spans="1:28">
      <c r="A35" s="247" t="s">
        <v>240</v>
      </c>
      <c r="B35" s="248">
        <v>22</v>
      </c>
      <c r="C35" s="249">
        <v>41</v>
      </c>
      <c r="D35" s="250"/>
      <c r="E35" s="201">
        <v>6</v>
      </c>
      <c r="Z35" s="143" t="str">
        <f>V28</f>
        <v>Jo-Ann Carter</v>
      </c>
      <c r="AA35" s="1">
        <f>20+2</f>
        <v>22</v>
      </c>
      <c r="AB35" s="186" t="s">
        <v>227</v>
      </c>
    </row>
    <row r="36" spans="1:28">
      <c r="A36" s="247" t="s">
        <v>241</v>
      </c>
      <c r="B36" s="248">
        <v>21</v>
      </c>
      <c r="C36" s="249">
        <v>53</v>
      </c>
      <c r="D36" s="250"/>
      <c r="E36" s="201">
        <v>7</v>
      </c>
      <c r="Z36" s="143" t="str">
        <f>V29</f>
        <v>Gina Schick</v>
      </c>
      <c r="AA36" s="1">
        <f>20+1</f>
        <v>21</v>
      </c>
      <c r="AB36" s="186" t="s">
        <v>228</v>
      </c>
    </row>
    <row r="37" spans="1:28" ht="16" thickBot="1">
      <c r="A37" s="252" t="s">
        <v>242</v>
      </c>
      <c r="B37" s="253">
        <v>21</v>
      </c>
      <c r="C37" s="254">
        <v>35</v>
      </c>
      <c r="D37" s="255"/>
      <c r="E37" s="207">
        <v>8</v>
      </c>
      <c r="Z37" s="143" t="str">
        <f>Q30</f>
        <v>Elmer Cook</v>
      </c>
      <c r="AA37" s="1">
        <v>20</v>
      </c>
    </row>
    <row r="38" spans="1:28" ht="16" thickBot="1">
      <c r="A38" s="256"/>
      <c r="B38" s="177"/>
      <c r="C38" s="177"/>
      <c r="D38" s="177"/>
      <c r="E38" s="177"/>
      <c r="Z38" s="143" t="str">
        <f>Q31</f>
        <v>Roy Czudnochowski</v>
      </c>
      <c r="AA38" s="1">
        <v>20</v>
      </c>
    </row>
    <row r="39" spans="1:28">
      <c r="A39" s="257" t="s">
        <v>243</v>
      </c>
      <c r="B39" s="258">
        <v>20</v>
      </c>
      <c r="C39" s="259">
        <v>57</v>
      </c>
      <c r="D39" s="260"/>
      <c r="E39" s="261">
        <v>1</v>
      </c>
      <c r="Z39" s="143" t="str">
        <f t="shared" ref="Z39:Z46" si="2">G27</f>
        <v>Robin Baillie</v>
      </c>
      <c r="AA39" s="1">
        <v>20</v>
      </c>
    </row>
    <row r="40" spans="1:28">
      <c r="A40" s="262" t="s">
        <v>134</v>
      </c>
      <c r="B40" s="263">
        <v>20</v>
      </c>
      <c r="C40" s="264">
        <v>43</v>
      </c>
      <c r="D40" s="265"/>
      <c r="E40" s="266">
        <v>2</v>
      </c>
      <c r="Z40" s="143" t="str">
        <f t="shared" si="2"/>
        <v>Lola van der Heide</v>
      </c>
      <c r="AA40" s="1">
        <v>20</v>
      </c>
    </row>
    <row r="41" spans="1:28">
      <c r="A41" s="262" t="s">
        <v>54</v>
      </c>
      <c r="B41" s="263">
        <v>20</v>
      </c>
      <c r="C41" s="264">
        <v>42</v>
      </c>
      <c r="D41" s="265"/>
      <c r="E41" s="267">
        <v>3</v>
      </c>
      <c r="Z41" s="143" t="str">
        <f t="shared" si="2"/>
        <v>Marilyn Thompson</v>
      </c>
      <c r="AA41" s="1">
        <v>20</v>
      </c>
    </row>
    <row r="42" spans="1:28">
      <c r="A42" s="268" t="s">
        <v>32</v>
      </c>
      <c r="B42" s="263">
        <v>20</v>
      </c>
      <c r="C42" s="264">
        <v>39</v>
      </c>
      <c r="D42" s="265"/>
      <c r="E42" s="267">
        <v>4</v>
      </c>
      <c r="Z42" s="143" t="str">
        <f t="shared" si="2"/>
        <v>Marilyn Messerschmidt</v>
      </c>
      <c r="AA42" s="1">
        <v>20</v>
      </c>
    </row>
    <row r="43" spans="1:28">
      <c r="A43" s="262" t="s">
        <v>244</v>
      </c>
      <c r="B43" s="263">
        <v>19</v>
      </c>
      <c r="C43" s="264">
        <v>31</v>
      </c>
      <c r="D43" s="265" t="s">
        <v>245</v>
      </c>
      <c r="E43" s="267">
        <v>5</v>
      </c>
      <c r="Z43" s="143" t="str">
        <f t="shared" si="2"/>
        <v>Kim Moore</v>
      </c>
      <c r="AA43" s="1">
        <v>20</v>
      </c>
      <c r="AB43" s="165"/>
    </row>
    <row r="44" spans="1:28">
      <c r="A44" s="262" t="s">
        <v>246</v>
      </c>
      <c r="B44" s="263">
        <v>17</v>
      </c>
      <c r="C44" s="264">
        <v>26</v>
      </c>
      <c r="D44" s="265"/>
      <c r="E44" s="267">
        <v>6</v>
      </c>
      <c r="Z44" s="143" t="str">
        <f t="shared" si="2"/>
        <v>Amos Martin</v>
      </c>
      <c r="AA44" s="1">
        <v>20</v>
      </c>
      <c r="AB44" s="165"/>
    </row>
    <row r="45" spans="1:28">
      <c r="A45" s="262" t="s">
        <v>247</v>
      </c>
      <c r="B45" s="263">
        <v>17</v>
      </c>
      <c r="C45" s="264">
        <v>22</v>
      </c>
      <c r="D45" s="265"/>
      <c r="E45" s="267">
        <v>7</v>
      </c>
      <c r="Z45" s="143" t="str">
        <f t="shared" si="2"/>
        <v>Doris Wilcox</v>
      </c>
      <c r="AA45" s="1">
        <v>20</v>
      </c>
      <c r="AB45" s="165"/>
    </row>
    <row r="46" spans="1:28">
      <c r="A46" s="262" t="s">
        <v>248</v>
      </c>
      <c r="B46" s="263">
        <v>16</v>
      </c>
      <c r="C46" s="264">
        <v>40</v>
      </c>
      <c r="D46" s="265"/>
      <c r="E46" s="267">
        <v>8</v>
      </c>
      <c r="Z46" s="143" t="str">
        <f t="shared" si="2"/>
        <v>Vera Gutzke</v>
      </c>
      <c r="AA46" s="1">
        <v>20</v>
      </c>
      <c r="AB46" s="165"/>
    </row>
    <row r="47" spans="1:28">
      <c r="A47" s="262" t="s">
        <v>249</v>
      </c>
      <c r="B47" s="263">
        <v>15</v>
      </c>
      <c r="C47" s="264">
        <v>28</v>
      </c>
      <c r="D47" s="265"/>
      <c r="E47" s="267">
        <v>6</v>
      </c>
      <c r="Z47" s="165"/>
      <c r="AA47" s="184"/>
      <c r="AB47" s="165"/>
    </row>
    <row r="48" spans="1:28">
      <c r="A48" s="262" t="s">
        <v>250</v>
      </c>
      <c r="B48" s="263">
        <v>13</v>
      </c>
      <c r="C48" s="264">
        <v>36</v>
      </c>
      <c r="D48" s="265"/>
      <c r="E48" s="267">
        <v>10</v>
      </c>
      <c r="Z48" s="165"/>
      <c r="AA48" s="184"/>
      <c r="AB48" s="165"/>
    </row>
    <row r="49" spans="1:28">
      <c r="A49" s="262" t="s">
        <v>251</v>
      </c>
      <c r="B49" s="263">
        <v>13</v>
      </c>
      <c r="C49" s="264">
        <v>33</v>
      </c>
      <c r="D49" s="265"/>
      <c r="E49" s="267">
        <v>11</v>
      </c>
      <c r="Z49" s="165"/>
      <c r="AA49" s="184"/>
      <c r="AB49" s="165"/>
    </row>
    <row r="50" spans="1:28" ht="16" thickBot="1">
      <c r="A50" s="269" t="s">
        <v>252</v>
      </c>
      <c r="B50" s="270">
        <v>12</v>
      </c>
      <c r="C50" s="271">
        <v>25</v>
      </c>
      <c r="D50" s="272"/>
      <c r="E50" s="273">
        <v>12</v>
      </c>
      <c r="Z50" s="165"/>
      <c r="AA50" s="184"/>
      <c r="AB50" s="165"/>
    </row>
    <row r="51" spans="1:28">
      <c r="Z51" s="165"/>
      <c r="AA51" s="184"/>
      <c r="AB51" s="165"/>
    </row>
    <row r="52" spans="1:28">
      <c r="Z52" s="165"/>
      <c r="AA52" s="184"/>
      <c r="AB52" s="165"/>
    </row>
  </sheetData>
  <mergeCells count="10">
    <mergeCell ref="U9:W9"/>
    <mergeCell ref="U15:W15"/>
    <mergeCell ref="U21:W21"/>
    <mergeCell ref="U27:W27"/>
    <mergeCell ref="A1:E1"/>
    <mergeCell ref="G1:O1"/>
    <mergeCell ref="Q1:X1"/>
    <mergeCell ref="Q2:S2"/>
    <mergeCell ref="U2:W2"/>
    <mergeCell ref="U3:W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topLeftCell="A13" workbookViewId="0">
      <selection activeCell="O1" sqref="O1:P1048576"/>
    </sheetView>
  </sheetViews>
  <sheetFormatPr baseColWidth="10" defaultColWidth="8.83203125" defaultRowHeight="15" x14ac:dyDescent="0"/>
  <cols>
    <col min="1" max="1" width="20.6640625" style="361" customWidth="1"/>
    <col min="2" max="2" width="19.83203125" style="361" customWidth="1"/>
    <col min="3" max="3" width="10.5" style="361" customWidth="1"/>
    <col min="4" max="4" width="9.83203125" style="361" customWidth="1"/>
    <col min="5" max="5" width="7.83203125" style="361" customWidth="1"/>
    <col min="6" max="6" width="11.83203125" style="361" customWidth="1"/>
    <col min="7" max="7" width="10.1640625" style="361" customWidth="1"/>
    <col min="8" max="8" width="8.1640625" style="361" customWidth="1"/>
    <col min="9" max="9" width="8.5" style="6" customWidth="1"/>
    <col min="10" max="10" width="11.5" style="6" customWidth="1"/>
    <col min="11" max="11" width="11.6640625" customWidth="1"/>
    <col min="12" max="12" width="8.1640625" customWidth="1"/>
    <col min="13" max="13" width="9" style="362" customWidth="1"/>
    <col min="14" max="14" width="21.6640625" style="362" customWidth="1"/>
    <col min="15" max="15" width="18.5" customWidth="1"/>
    <col min="16" max="16" width="10" style="361" customWidth="1"/>
    <col min="17" max="17" width="18.5" customWidth="1"/>
    <col min="18" max="18" width="10" style="361" customWidth="1"/>
    <col min="19" max="19" width="10.83203125" customWidth="1"/>
    <col min="20" max="20" width="12.1640625" customWidth="1"/>
    <col min="21" max="21" width="14.33203125" customWidth="1"/>
    <col min="22" max="22" width="16.5" customWidth="1"/>
    <col min="23" max="23" width="24.6640625" customWidth="1"/>
  </cols>
  <sheetData>
    <row r="1" spans="1:22" ht="22.5" customHeight="1">
      <c r="A1" s="526" t="s">
        <v>273</v>
      </c>
      <c r="B1" s="526"/>
      <c r="C1" s="526"/>
      <c r="D1" s="526"/>
      <c r="E1" s="526"/>
      <c r="F1" s="526"/>
      <c r="G1" s="526"/>
      <c r="H1" s="526"/>
      <c r="I1" s="526"/>
      <c r="J1" s="526"/>
      <c r="K1" s="527"/>
      <c r="L1" s="527"/>
      <c r="M1" s="527"/>
      <c r="S1" s="165"/>
    </row>
    <row r="2" spans="1:22" ht="13.5" customHeight="1">
      <c r="M2" s="363"/>
      <c r="N2" s="363"/>
      <c r="O2" s="131" t="s">
        <v>13</v>
      </c>
      <c r="P2" s="131" t="s">
        <v>15</v>
      </c>
      <c r="R2"/>
      <c r="S2" s="165"/>
    </row>
    <row r="3" spans="1:22" ht="13.5" customHeight="1" thickBot="1">
      <c r="M3" s="363"/>
      <c r="N3" s="363"/>
      <c r="O3" s="143" t="str">
        <f t="shared" ref="O3:O19" si="0">A6</f>
        <v>Ray Beierling</v>
      </c>
      <c r="P3" s="1">
        <v>50</v>
      </c>
      <c r="S3" s="165"/>
    </row>
    <row r="4" spans="1:22" ht="13.5" customHeight="1" thickTop="1" thickBot="1">
      <c r="C4" s="528" t="s">
        <v>274</v>
      </c>
      <c r="D4" s="529"/>
      <c r="E4" s="528" t="s">
        <v>275</v>
      </c>
      <c r="F4" s="529"/>
      <c r="G4" s="528" t="s">
        <v>276</v>
      </c>
      <c r="H4" s="529"/>
      <c r="J4"/>
      <c r="L4" s="530"/>
      <c r="M4" s="530"/>
      <c r="N4" s="363"/>
      <c r="O4" s="143" t="str">
        <f t="shared" si="0"/>
        <v>Andrew Hutchinson</v>
      </c>
      <c r="P4" s="1">
        <v>47</v>
      </c>
    </row>
    <row r="5" spans="1:22" ht="13.5" customHeight="1" thickTop="1" thickBot="1">
      <c r="A5" s="364" t="s">
        <v>277</v>
      </c>
      <c r="B5" s="365"/>
      <c r="C5" s="366" t="s">
        <v>0</v>
      </c>
      <c r="D5" s="366" t="s">
        <v>1</v>
      </c>
      <c r="E5" s="366" t="s">
        <v>0</v>
      </c>
      <c r="F5" s="366" t="s">
        <v>1</v>
      </c>
      <c r="G5" s="366" t="s">
        <v>0</v>
      </c>
      <c r="H5" s="366" t="s">
        <v>1</v>
      </c>
      <c r="I5" s="6" t="s">
        <v>151</v>
      </c>
      <c r="J5" s="367"/>
      <c r="K5" s="367"/>
      <c r="L5" s="181"/>
      <c r="M5" s="363"/>
      <c r="N5" s="363"/>
      <c r="O5" s="143" t="str">
        <f t="shared" si="0"/>
        <v>Reid Tracey</v>
      </c>
      <c r="P5" s="1">
        <v>45</v>
      </c>
      <c r="S5" s="165"/>
      <c r="T5" s="165"/>
      <c r="U5" s="165"/>
    </row>
    <row r="6" spans="1:22" ht="13.5" customHeight="1" thickTop="1">
      <c r="A6" s="369" t="s">
        <v>2</v>
      </c>
      <c r="B6" s="370" t="s">
        <v>5</v>
      </c>
      <c r="C6" s="371">
        <v>45</v>
      </c>
      <c r="D6" s="372">
        <v>89</v>
      </c>
      <c r="E6" s="371">
        <v>43</v>
      </c>
      <c r="F6" s="372">
        <v>91</v>
      </c>
      <c r="G6" s="373">
        <v>88</v>
      </c>
      <c r="H6" s="374">
        <v>180</v>
      </c>
      <c r="I6" s="6">
        <v>1</v>
      </c>
      <c r="J6" s="367"/>
      <c r="K6" s="367"/>
      <c r="L6" s="181"/>
      <c r="M6" s="363"/>
      <c r="N6" s="363"/>
      <c r="O6" s="143" t="str">
        <f t="shared" si="0"/>
        <v>Fred Slater</v>
      </c>
      <c r="P6" s="1">
        <v>43</v>
      </c>
      <c r="S6" s="165"/>
      <c r="T6" s="165"/>
      <c r="U6" s="165"/>
    </row>
    <row r="7" spans="1:22" ht="13.5" customHeight="1">
      <c r="A7" s="375" t="s">
        <v>36</v>
      </c>
      <c r="B7" s="376" t="s">
        <v>35</v>
      </c>
      <c r="C7" s="377">
        <v>38</v>
      </c>
      <c r="D7" s="378">
        <v>99</v>
      </c>
      <c r="E7" s="379">
        <v>49</v>
      </c>
      <c r="F7" s="378">
        <v>94</v>
      </c>
      <c r="G7" s="373">
        <v>87</v>
      </c>
      <c r="H7" s="374">
        <v>193</v>
      </c>
      <c r="I7" s="6">
        <v>2</v>
      </c>
      <c r="J7" s="367"/>
      <c r="K7" s="367"/>
      <c r="L7" s="380"/>
      <c r="M7" s="380"/>
      <c r="N7" s="363"/>
      <c r="O7" s="143" t="str">
        <f t="shared" si="0"/>
        <v>Roy Campbell</v>
      </c>
      <c r="P7" s="1">
        <v>41</v>
      </c>
      <c r="S7" s="381"/>
      <c r="T7" s="381"/>
      <c r="U7" s="165"/>
    </row>
    <row r="8" spans="1:22" ht="13.5" customHeight="1">
      <c r="A8" s="375" t="s">
        <v>38</v>
      </c>
      <c r="B8" s="376" t="s">
        <v>37</v>
      </c>
      <c r="C8" s="377">
        <v>41</v>
      </c>
      <c r="D8" s="378">
        <v>72</v>
      </c>
      <c r="E8" s="379">
        <v>46</v>
      </c>
      <c r="F8" s="372">
        <v>88</v>
      </c>
      <c r="G8" s="373">
        <v>87</v>
      </c>
      <c r="H8" s="374">
        <v>160</v>
      </c>
      <c r="I8" s="6">
        <v>3</v>
      </c>
      <c r="J8" s="367"/>
      <c r="K8" s="367"/>
      <c r="L8" s="181"/>
      <c r="M8" s="363"/>
      <c r="N8" s="363"/>
      <c r="O8" s="143" t="str">
        <f t="shared" si="0"/>
        <v>Tyson Kuepfer</v>
      </c>
      <c r="P8" s="1">
        <v>40</v>
      </c>
      <c r="S8" s="381"/>
      <c r="T8" s="381"/>
      <c r="U8" s="2"/>
      <c r="V8" s="382"/>
    </row>
    <row r="9" spans="1:22" ht="15.75" customHeight="1">
      <c r="A9" s="383" t="s">
        <v>3</v>
      </c>
      <c r="B9" s="384" t="s">
        <v>6</v>
      </c>
      <c r="C9" s="377">
        <v>37</v>
      </c>
      <c r="D9" s="378">
        <v>79</v>
      </c>
      <c r="E9" s="379">
        <v>48</v>
      </c>
      <c r="F9" s="378">
        <v>109</v>
      </c>
      <c r="G9" s="373">
        <v>85</v>
      </c>
      <c r="H9" s="374">
        <v>188</v>
      </c>
      <c r="I9" s="6">
        <v>4</v>
      </c>
      <c r="J9" s="367"/>
      <c r="K9" s="367"/>
      <c r="L9" s="181"/>
      <c r="M9" s="363"/>
      <c r="N9" s="363"/>
      <c r="O9" s="143" t="str">
        <f t="shared" si="0"/>
        <v>Josh Carrafiello</v>
      </c>
      <c r="P9" s="1">
        <v>39</v>
      </c>
      <c r="S9" s="381"/>
      <c r="T9" s="381"/>
      <c r="U9" s="2"/>
      <c r="V9" s="363"/>
    </row>
    <row r="10" spans="1:22" ht="15.75" customHeight="1">
      <c r="A10" s="383" t="s">
        <v>16</v>
      </c>
      <c r="B10" s="384" t="s">
        <v>278</v>
      </c>
      <c r="C10" s="379">
        <v>33</v>
      </c>
      <c r="D10" s="372">
        <v>82</v>
      </c>
      <c r="E10" s="379">
        <v>46</v>
      </c>
      <c r="F10" s="378">
        <v>102</v>
      </c>
      <c r="G10" s="373">
        <v>79</v>
      </c>
      <c r="H10" s="374">
        <v>184</v>
      </c>
      <c r="I10" s="6">
        <v>5</v>
      </c>
      <c r="J10" s="367"/>
      <c r="K10" s="367"/>
      <c r="L10" s="181"/>
      <c r="M10" s="363"/>
      <c r="N10" s="363"/>
      <c r="O10" s="143" t="str">
        <f t="shared" si="0"/>
        <v>Simon Dowrick</v>
      </c>
      <c r="P10" s="1">
        <v>38</v>
      </c>
      <c r="S10" s="381"/>
      <c r="T10" s="381"/>
      <c r="U10" s="2"/>
      <c r="V10" s="382"/>
    </row>
    <row r="11" spans="1:22" ht="15.75" customHeight="1">
      <c r="A11" s="383" t="s">
        <v>279</v>
      </c>
      <c r="B11" s="384" t="s">
        <v>280</v>
      </c>
      <c r="C11" s="377">
        <v>44</v>
      </c>
      <c r="D11" s="378">
        <v>90</v>
      </c>
      <c r="E11" s="379">
        <v>29</v>
      </c>
      <c r="F11" s="378">
        <v>80</v>
      </c>
      <c r="G11" s="373">
        <v>73</v>
      </c>
      <c r="H11" s="374">
        <v>170</v>
      </c>
      <c r="I11" s="6">
        <v>6</v>
      </c>
      <c r="J11" s="367"/>
      <c r="K11" s="367"/>
      <c r="L11" s="181"/>
      <c r="M11" s="363"/>
      <c r="N11" s="363"/>
      <c r="O11" s="143" t="str">
        <f t="shared" si="0"/>
        <v>Peter Carter</v>
      </c>
      <c r="P11" s="1">
        <v>37</v>
      </c>
      <c r="S11" s="381"/>
      <c r="T11" s="381"/>
      <c r="U11" s="2"/>
      <c r="V11" s="382"/>
    </row>
    <row r="12" spans="1:22" ht="15.75" customHeight="1">
      <c r="A12" s="383" t="s">
        <v>103</v>
      </c>
      <c r="B12" s="384" t="s">
        <v>39</v>
      </c>
      <c r="C12" s="379">
        <v>37</v>
      </c>
      <c r="D12" s="372">
        <v>83</v>
      </c>
      <c r="E12" s="379">
        <v>35</v>
      </c>
      <c r="F12" s="378">
        <v>77</v>
      </c>
      <c r="G12" s="373">
        <v>72</v>
      </c>
      <c r="H12" s="374">
        <v>160</v>
      </c>
      <c r="J12" s="367"/>
      <c r="K12" s="367"/>
      <c r="L12" s="181"/>
      <c r="M12" s="363"/>
      <c r="N12" s="363"/>
      <c r="O12" s="143" t="str">
        <f t="shared" si="0"/>
        <v>Ron Reesor</v>
      </c>
      <c r="P12" s="1">
        <v>36</v>
      </c>
      <c r="S12" s="381"/>
      <c r="T12" s="381"/>
      <c r="U12" s="2"/>
      <c r="V12" s="363"/>
    </row>
    <row r="13" spans="1:22" ht="15.75" customHeight="1">
      <c r="A13" s="375" t="s">
        <v>105</v>
      </c>
      <c r="B13" s="376" t="s">
        <v>52</v>
      </c>
      <c r="C13" s="377">
        <v>33</v>
      </c>
      <c r="D13" s="378">
        <v>71</v>
      </c>
      <c r="E13" s="379">
        <v>32</v>
      </c>
      <c r="F13" s="378">
        <v>106</v>
      </c>
      <c r="G13" s="373">
        <v>65</v>
      </c>
      <c r="H13" s="374">
        <v>177</v>
      </c>
      <c r="J13" s="367"/>
      <c r="K13" s="367"/>
      <c r="L13" s="181"/>
      <c r="M13" s="363"/>
      <c r="N13" s="363"/>
      <c r="O13" s="143" t="str">
        <f t="shared" si="0"/>
        <v>Nathan Walsh</v>
      </c>
      <c r="P13" s="1">
        <v>35</v>
      </c>
      <c r="S13" s="381"/>
      <c r="T13" s="381"/>
      <c r="U13" s="2"/>
      <c r="V13" s="363"/>
    </row>
    <row r="14" spans="1:22" ht="15.75" customHeight="1">
      <c r="A14" s="375" t="s">
        <v>30</v>
      </c>
      <c r="B14" s="376" t="s">
        <v>42</v>
      </c>
      <c r="C14" s="377">
        <v>33</v>
      </c>
      <c r="D14" s="378">
        <v>72</v>
      </c>
      <c r="E14" s="379">
        <v>26</v>
      </c>
      <c r="F14" s="378">
        <v>78</v>
      </c>
      <c r="G14" s="373">
        <v>59</v>
      </c>
      <c r="H14" s="374">
        <v>150</v>
      </c>
      <c r="J14" s="367"/>
      <c r="K14" s="367"/>
      <c r="L14" s="181"/>
      <c r="M14" s="363"/>
      <c r="N14" s="363"/>
      <c r="O14" s="143" t="str">
        <f t="shared" si="0"/>
        <v>Rex Johnston</v>
      </c>
      <c r="P14" s="1">
        <f>34</f>
        <v>34</v>
      </c>
      <c r="S14" s="381"/>
      <c r="T14" s="381"/>
      <c r="U14" s="385"/>
      <c r="V14" s="363"/>
    </row>
    <row r="15" spans="1:22" ht="15.75" customHeight="1">
      <c r="A15" s="375" t="s">
        <v>281</v>
      </c>
      <c r="B15" s="376" t="s">
        <v>50</v>
      </c>
      <c r="C15" s="377">
        <v>30</v>
      </c>
      <c r="D15" s="378">
        <v>57</v>
      </c>
      <c r="E15" s="379">
        <v>26</v>
      </c>
      <c r="F15" s="378">
        <v>75</v>
      </c>
      <c r="G15" s="373">
        <v>56</v>
      </c>
      <c r="H15" s="374">
        <v>132</v>
      </c>
      <c r="J15" s="367"/>
      <c r="K15" s="367"/>
      <c r="L15" s="363"/>
      <c r="M15" s="363"/>
      <c r="N15" s="363"/>
      <c r="O15" s="143" t="str">
        <f t="shared" si="0"/>
        <v>Neil Cook</v>
      </c>
      <c r="P15" s="1">
        <v>33</v>
      </c>
      <c r="S15" s="165"/>
      <c r="T15" s="9"/>
      <c r="U15" s="2"/>
      <c r="V15" s="9"/>
    </row>
    <row r="16" spans="1:22" ht="15.75" customHeight="1">
      <c r="A16" s="383" t="s">
        <v>4</v>
      </c>
      <c r="B16" s="384" t="s">
        <v>208</v>
      </c>
      <c r="C16" s="377">
        <v>21</v>
      </c>
      <c r="D16" s="378">
        <v>57</v>
      </c>
      <c r="E16" s="379">
        <v>33</v>
      </c>
      <c r="F16" s="372">
        <v>71</v>
      </c>
      <c r="G16" s="373">
        <v>54</v>
      </c>
      <c r="H16" s="374">
        <v>128</v>
      </c>
      <c r="J16" s="367"/>
      <c r="K16" s="367"/>
      <c r="L16" s="363"/>
      <c r="M16" s="363"/>
      <c r="N16" s="363"/>
      <c r="O16" s="143" t="str">
        <f t="shared" si="0"/>
        <v>Darren Carr</v>
      </c>
      <c r="P16" s="1">
        <v>32</v>
      </c>
      <c r="T16" s="181"/>
      <c r="U16" s="386"/>
      <c r="V16" s="363"/>
    </row>
    <row r="17" spans="1:22" ht="15.75" customHeight="1">
      <c r="A17" s="387" t="s">
        <v>23</v>
      </c>
      <c r="B17" s="388" t="s">
        <v>312</v>
      </c>
      <c r="C17" s="379">
        <v>21</v>
      </c>
      <c r="D17" s="372">
        <v>65</v>
      </c>
      <c r="E17" s="379">
        <v>31</v>
      </c>
      <c r="F17" s="378">
        <v>56</v>
      </c>
      <c r="G17" s="373">
        <v>52</v>
      </c>
      <c r="H17" s="374">
        <v>121</v>
      </c>
      <c r="J17" s="367"/>
      <c r="K17" s="367"/>
      <c r="L17" s="181"/>
      <c r="M17" s="363"/>
      <c r="N17" s="363"/>
      <c r="O17" s="143" t="str">
        <f t="shared" si="0"/>
        <v>Harvey Atchison</v>
      </c>
      <c r="P17" s="1">
        <v>31</v>
      </c>
      <c r="T17" s="181"/>
      <c r="U17" s="386"/>
      <c r="V17" s="363"/>
    </row>
    <row r="18" spans="1:22" ht="15.75" customHeight="1">
      <c r="A18" s="387" t="s">
        <v>233</v>
      </c>
      <c r="B18" s="388" t="s">
        <v>8</v>
      </c>
      <c r="C18" s="377">
        <v>20</v>
      </c>
      <c r="D18" s="378">
        <v>61</v>
      </c>
      <c r="E18" s="379">
        <v>31</v>
      </c>
      <c r="F18" s="372">
        <v>81</v>
      </c>
      <c r="G18" s="373">
        <v>51</v>
      </c>
      <c r="H18" s="374">
        <v>142</v>
      </c>
      <c r="J18" s="367"/>
      <c r="K18" s="367"/>
      <c r="L18" s="181"/>
      <c r="M18" s="363"/>
      <c r="N18" s="363"/>
      <c r="O18" s="143" t="str">
        <f t="shared" si="0"/>
        <v>Dan Hepburn</v>
      </c>
      <c r="P18" s="1">
        <v>30</v>
      </c>
      <c r="T18" s="181"/>
      <c r="U18" s="386"/>
      <c r="V18" s="363"/>
    </row>
    <row r="19" spans="1:22" ht="15.75" customHeight="1">
      <c r="A19" s="389" t="s">
        <v>46</v>
      </c>
      <c r="B19" s="390" t="s">
        <v>54</v>
      </c>
      <c r="C19" s="377">
        <v>18</v>
      </c>
      <c r="D19" s="378">
        <v>72</v>
      </c>
      <c r="E19" s="379">
        <v>32</v>
      </c>
      <c r="F19" s="378">
        <v>61</v>
      </c>
      <c r="G19" s="373">
        <v>50</v>
      </c>
      <c r="H19" s="374">
        <v>133</v>
      </c>
      <c r="J19"/>
      <c r="K19" s="367"/>
      <c r="L19" s="181"/>
      <c r="M19" s="363"/>
      <c r="N19" s="363"/>
      <c r="O19" s="143" t="str">
        <f t="shared" si="0"/>
        <v>Carol Cook</v>
      </c>
      <c r="P19" s="1">
        <v>29</v>
      </c>
      <c r="T19" s="181"/>
      <c r="U19" s="386"/>
      <c r="V19" s="363"/>
    </row>
    <row r="20" spans="1:22" ht="15.75" customHeight="1">
      <c r="A20" s="389" t="s">
        <v>282</v>
      </c>
      <c r="B20" s="390" t="s">
        <v>283</v>
      </c>
      <c r="C20" s="379">
        <v>22</v>
      </c>
      <c r="D20" s="372">
        <v>47</v>
      </c>
      <c r="E20" s="379">
        <v>27</v>
      </c>
      <c r="F20" s="378">
        <v>76</v>
      </c>
      <c r="G20" s="373">
        <v>49</v>
      </c>
      <c r="H20" s="374">
        <v>123</v>
      </c>
      <c r="J20"/>
      <c r="L20" s="181"/>
      <c r="M20" s="363"/>
      <c r="N20" s="363"/>
      <c r="O20" s="143" t="str">
        <f t="shared" ref="O20:O36" si="1">B6</f>
        <v>Jason Beierling</v>
      </c>
      <c r="P20" s="1">
        <v>50</v>
      </c>
      <c r="Q20" s="368"/>
      <c r="R20" s="368"/>
      <c r="T20" s="165"/>
      <c r="U20" s="386"/>
      <c r="V20" s="363"/>
    </row>
    <row r="21" spans="1:22" ht="15.75" customHeight="1">
      <c r="A21" s="389" t="s">
        <v>121</v>
      </c>
      <c r="B21" s="390" t="s">
        <v>122</v>
      </c>
      <c r="C21" s="377">
        <v>23</v>
      </c>
      <c r="D21" s="378">
        <v>57</v>
      </c>
      <c r="E21" s="379">
        <v>21</v>
      </c>
      <c r="F21" s="372">
        <v>62</v>
      </c>
      <c r="G21" s="373">
        <v>44</v>
      </c>
      <c r="H21" s="374">
        <v>119</v>
      </c>
      <c r="J21"/>
      <c r="L21" s="181"/>
      <c r="M21" s="363"/>
      <c r="N21" s="363"/>
      <c r="O21" s="143" t="str">
        <f t="shared" si="1"/>
        <v>Jeremy Tracey</v>
      </c>
      <c r="P21" s="1">
        <v>47</v>
      </c>
      <c r="Q21" s="368"/>
      <c r="R21" s="368"/>
      <c r="T21" s="181"/>
      <c r="U21" s="386"/>
      <c r="V21" s="363"/>
    </row>
    <row r="22" spans="1:22" ht="15.75" customHeight="1" thickBot="1">
      <c r="A22" s="391" t="s">
        <v>231</v>
      </c>
      <c r="B22" s="392" t="s">
        <v>27</v>
      </c>
      <c r="C22" s="393">
        <v>16</v>
      </c>
      <c r="D22" s="394">
        <v>61</v>
      </c>
      <c r="E22" s="395">
        <v>20</v>
      </c>
      <c r="F22" s="394">
        <v>47</v>
      </c>
      <c r="G22" s="396">
        <v>36</v>
      </c>
      <c r="H22" s="397">
        <v>108</v>
      </c>
      <c r="J22"/>
      <c r="L22" s="181"/>
      <c r="M22" s="363"/>
      <c r="N22" s="363"/>
      <c r="O22" s="143" t="str">
        <f t="shared" si="1"/>
        <v>Nolan Tracey</v>
      </c>
      <c r="P22" s="1">
        <v>45</v>
      </c>
      <c r="Q22" s="368"/>
      <c r="R22" s="368"/>
    </row>
    <row r="23" spans="1:22" ht="15.75" customHeight="1">
      <c r="A23" s="184"/>
      <c r="H23" s="184"/>
      <c r="M23" s="181"/>
      <c r="N23" s="363"/>
      <c r="O23" s="143" t="str">
        <f t="shared" si="1"/>
        <v>Justin Slater</v>
      </c>
      <c r="P23" s="1">
        <v>43</v>
      </c>
      <c r="Q23" s="368"/>
      <c r="R23" s="368"/>
    </row>
    <row r="24" spans="1:22" ht="15.75" customHeight="1" thickBot="1">
      <c r="A24" s="184"/>
      <c r="B24" s="522"/>
      <c r="C24" s="522"/>
      <c r="D24" s="522"/>
      <c r="F24" s="184"/>
      <c r="H24" s="184"/>
      <c r="M24" s="181"/>
      <c r="N24" s="363"/>
      <c r="O24" s="143" t="str">
        <f t="shared" si="1"/>
        <v>Paul Brubacher</v>
      </c>
      <c r="P24" s="1">
        <v>41</v>
      </c>
      <c r="Q24" s="368"/>
      <c r="R24" s="368"/>
    </row>
    <row r="25" spans="1:22" ht="17" thickTop="1" thickBot="1">
      <c r="D25" s="528" t="s">
        <v>274</v>
      </c>
      <c r="E25" s="529"/>
      <c r="F25" s="398"/>
      <c r="H25" s="528" t="s">
        <v>275</v>
      </c>
      <c r="I25" s="529"/>
      <c r="L25" s="528" t="s">
        <v>276</v>
      </c>
      <c r="M25" s="529"/>
      <c r="N25" s="363"/>
      <c r="O25" s="143" t="str">
        <f t="shared" si="1"/>
        <v>Gerald Kuepfer</v>
      </c>
      <c r="P25" s="1">
        <v>40</v>
      </c>
      <c r="S25" s="131" t="s">
        <v>13</v>
      </c>
      <c r="T25" s="131" t="s">
        <v>15</v>
      </c>
    </row>
    <row r="26" spans="1:22" ht="17" thickTop="1" thickBot="1">
      <c r="A26" s="364" t="s">
        <v>284</v>
      </c>
      <c r="B26" s="365"/>
      <c r="C26" s="365" t="s">
        <v>188</v>
      </c>
      <c r="D26" s="366" t="s">
        <v>0</v>
      </c>
      <c r="E26" s="366" t="s">
        <v>1</v>
      </c>
      <c r="F26" s="366" t="s">
        <v>285</v>
      </c>
      <c r="G26" s="365" t="s">
        <v>188</v>
      </c>
      <c r="H26" s="366" t="s">
        <v>0</v>
      </c>
      <c r="I26" s="366" t="s">
        <v>1</v>
      </c>
      <c r="J26" s="366" t="s">
        <v>285</v>
      </c>
      <c r="L26" s="366" t="s">
        <v>0</v>
      </c>
      <c r="M26" s="366" t="s">
        <v>1</v>
      </c>
      <c r="N26" s="363"/>
      <c r="O26" s="143" t="str">
        <f t="shared" si="1"/>
        <v>Raymond Kappes</v>
      </c>
      <c r="P26" s="1">
        <v>39</v>
      </c>
      <c r="S26" s="143" t="str">
        <f>A27</f>
        <v>Dave White</v>
      </c>
      <c r="T26" s="1">
        <v>50</v>
      </c>
    </row>
    <row r="27" spans="1:22" ht="17" thickTop="1" thickBot="1">
      <c r="A27" s="399" t="s">
        <v>286</v>
      </c>
      <c r="B27" s="400" t="s">
        <v>287</v>
      </c>
      <c r="C27" s="401">
        <v>8</v>
      </c>
      <c r="D27" s="402">
        <v>47</v>
      </c>
      <c r="E27" s="378">
        <v>48</v>
      </c>
      <c r="F27" s="403">
        <f t="shared" ref="F27:F37" si="2">D27/C27*8</f>
        <v>47</v>
      </c>
      <c r="G27" s="404">
        <v>8</v>
      </c>
      <c r="H27" s="371">
        <v>48</v>
      </c>
      <c r="I27" s="372">
        <v>41</v>
      </c>
      <c r="J27" s="403">
        <f t="shared" ref="J27:J37" si="3">H27/G27*9</f>
        <v>54</v>
      </c>
      <c r="L27" s="405">
        <f t="shared" ref="L27:L37" si="4">SUM(F27+J27)</f>
        <v>101</v>
      </c>
      <c r="M27" s="406">
        <f>(E27/C27*8)+(I27/G27*9)</f>
        <v>94.125</v>
      </c>
      <c r="N27" s="363"/>
      <c r="O27" s="143" t="str">
        <f t="shared" si="1"/>
        <v>Mark Boot</v>
      </c>
      <c r="P27" s="1">
        <v>38</v>
      </c>
      <c r="S27" s="143" t="str">
        <f>A29</f>
        <v>Vuth Vann</v>
      </c>
      <c r="T27" s="1">
        <v>47</v>
      </c>
    </row>
    <row r="28" spans="1:22" ht="17" thickTop="1" thickBot="1">
      <c r="A28" s="407" t="s">
        <v>32</v>
      </c>
      <c r="B28" s="408" t="s">
        <v>288</v>
      </c>
      <c r="C28" s="409">
        <v>7</v>
      </c>
      <c r="D28" s="377">
        <v>41</v>
      </c>
      <c r="E28" s="378">
        <v>63</v>
      </c>
      <c r="F28" s="403">
        <f t="shared" si="2"/>
        <v>46.857142857142854</v>
      </c>
      <c r="G28" s="410">
        <v>8</v>
      </c>
      <c r="H28" s="379">
        <v>46</v>
      </c>
      <c r="I28" s="378">
        <v>74</v>
      </c>
      <c r="J28" s="403">
        <f t="shared" si="3"/>
        <v>51.75</v>
      </c>
      <c r="L28" s="405">
        <f t="shared" si="4"/>
        <v>98.607142857142861</v>
      </c>
      <c r="M28" s="406">
        <f>(E28/C28*8)+(I28/G28*9)</f>
        <v>155.25</v>
      </c>
      <c r="N28" s="363"/>
      <c r="O28" s="143" t="str">
        <f t="shared" si="1"/>
        <v>Ron Langill</v>
      </c>
      <c r="P28" s="1">
        <v>37</v>
      </c>
      <c r="S28" s="143" t="str">
        <f>A28</f>
        <v>Jo-Ann Carter</v>
      </c>
      <c r="T28" s="1">
        <v>45</v>
      </c>
    </row>
    <row r="29" spans="1:22" ht="17" thickTop="1" thickBot="1">
      <c r="A29" s="383" t="s">
        <v>124</v>
      </c>
      <c r="B29" s="384" t="s">
        <v>123</v>
      </c>
      <c r="C29" s="410">
        <v>7</v>
      </c>
      <c r="D29" s="377">
        <v>34</v>
      </c>
      <c r="E29" s="378">
        <v>45</v>
      </c>
      <c r="F29" s="403">
        <f t="shared" si="2"/>
        <v>38.857142857142854</v>
      </c>
      <c r="G29" s="410">
        <v>8</v>
      </c>
      <c r="H29" s="379">
        <v>46</v>
      </c>
      <c r="I29" s="378">
        <v>53</v>
      </c>
      <c r="J29" s="403">
        <f t="shared" si="3"/>
        <v>51.75</v>
      </c>
      <c r="L29" s="405">
        <f t="shared" si="4"/>
        <v>90.607142857142861</v>
      </c>
      <c r="M29" s="406">
        <f t="shared" ref="M29:M37" si="5">(E29/C29*8)+(I29/G29*9)</f>
        <v>111.05357142857143</v>
      </c>
      <c r="N29" s="363"/>
      <c r="O29" s="143" t="str">
        <f t="shared" si="1"/>
        <v>Jeff McKeen</v>
      </c>
      <c r="P29" s="1">
        <v>36</v>
      </c>
      <c r="S29" s="143" t="str">
        <f>A30</f>
        <v>Dave Mills</v>
      </c>
      <c r="T29" s="1">
        <v>43</v>
      </c>
    </row>
    <row r="30" spans="1:22" ht="17" thickTop="1" thickBot="1">
      <c r="A30" s="383" t="s">
        <v>289</v>
      </c>
      <c r="B30" s="384" t="s">
        <v>290</v>
      </c>
      <c r="C30" s="410">
        <v>8</v>
      </c>
      <c r="D30" s="377">
        <v>41</v>
      </c>
      <c r="E30" s="378">
        <v>27</v>
      </c>
      <c r="F30" s="403">
        <f t="shared" si="2"/>
        <v>41</v>
      </c>
      <c r="G30" s="410">
        <v>8</v>
      </c>
      <c r="H30" s="379">
        <v>41</v>
      </c>
      <c r="I30" s="378">
        <v>38</v>
      </c>
      <c r="J30" s="403">
        <f t="shared" si="3"/>
        <v>46.125</v>
      </c>
      <c r="L30" s="405">
        <f t="shared" si="4"/>
        <v>87.125</v>
      </c>
      <c r="M30" s="406">
        <f t="shared" si="5"/>
        <v>69.75</v>
      </c>
      <c r="N30" s="363"/>
      <c r="O30" s="143" t="str">
        <f t="shared" si="1"/>
        <v>Gloria Walsh</v>
      </c>
      <c r="P30" s="1">
        <v>35</v>
      </c>
      <c r="S30" s="143" t="str">
        <f>A31</f>
        <v>Shelley</v>
      </c>
      <c r="T30" s="1">
        <v>41</v>
      </c>
    </row>
    <row r="31" spans="1:22" ht="17" thickTop="1" thickBot="1">
      <c r="A31" s="387" t="s">
        <v>291</v>
      </c>
      <c r="B31" s="388" t="s">
        <v>292</v>
      </c>
      <c r="C31" s="411">
        <v>7</v>
      </c>
      <c r="D31" s="377">
        <v>37</v>
      </c>
      <c r="E31" s="378">
        <v>25</v>
      </c>
      <c r="F31" s="403">
        <f t="shared" si="2"/>
        <v>42.285714285714285</v>
      </c>
      <c r="G31" s="411">
        <v>8</v>
      </c>
      <c r="H31" s="379">
        <v>33</v>
      </c>
      <c r="I31" s="372">
        <v>34</v>
      </c>
      <c r="J31" s="403">
        <f t="shared" si="3"/>
        <v>37.125</v>
      </c>
      <c r="L31" s="405">
        <f t="shared" si="4"/>
        <v>79.410714285714278</v>
      </c>
      <c r="M31" s="406">
        <f t="shared" si="5"/>
        <v>66.821428571428569</v>
      </c>
      <c r="N31" s="363"/>
      <c r="O31" s="143" t="str">
        <f t="shared" si="1"/>
        <v>Cor van den Hoven</v>
      </c>
      <c r="P31" s="1">
        <f>34</f>
        <v>34</v>
      </c>
      <c r="S31" s="143" t="str">
        <f t="shared" ref="S31:S34" si="6">A32</f>
        <v>Klaas Steenbeek</v>
      </c>
      <c r="T31" s="1">
        <v>40</v>
      </c>
    </row>
    <row r="32" spans="1:22" ht="17" thickTop="1" thickBot="1">
      <c r="A32" s="375" t="s">
        <v>293</v>
      </c>
      <c r="B32" s="376" t="s">
        <v>294</v>
      </c>
      <c r="C32" s="411">
        <v>7</v>
      </c>
      <c r="D32" s="377">
        <v>27</v>
      </c>
      <c r="E32" s="378">
        <v>27</v>
      </c>
      <c r="F32" s="403">
        <f t="shared" si="2"/>
        <v>30.857142857142858</v>
      </c>
      <c r="G32" s="410">
        <v>9</v>
      </c>
      <c r="H32" s="379">
        <v>44</v>
      </c>
      <c r="I32" s="378">
        <v>45</v>
      </c>
      <c r="J32" s="403">
        <f t="shared" si="3"/>
        <v>44</v>
      </c>
      <c r="L32" s="405">
        <f t="shared" si="4"/>
        <v>74.857142857142861</v>
      </c>
      <c r="M32" s="406">
        <f t="shared" si="5"/>
        <v>75.857142857142861</v>
      </c>
      <c r="N32" s="363"/>
      <c r="O32" s="143" t="str">
        <f t="shared" si="1"/>
        <v>Clare Kuepfer</v>
      </c>
      <c r="P32" s="1">
        <v>33</v>
      </c>
      <c r="S32" s="143" t="str">
        <f t="shared" si="6"/>
        <v>Lola Van der Heide</v>
      </c>
      <c r="T32" s="1">
        <v>39</v>
      </c>
    </row>
    <row r="33" spans="1:20" ht="17" thickTop="1" thickBot="1">
      <c r="A33" s="375" t="s">
        <v>295</v>
      </c>
      <c r="B33" s="376" t="s">
        <v>242</v>
      </c>
      <c r="C33" s="411">
        <v>7</v>
      </c>
      <c r="D33" s="379">
        <v>36</v>
      </c>
      <c r="E33" s="372">
        <v>37</v>
      </c>
      <c r="F33" s="403">
        <f t="shared" si="2"/>
        <v>41.142857142857146</v>
      </c>
      <c r="G33" s="411">
        <v>8</v>
      </c>
      <c r="H33" s="379">
        <v>24</v>
      </c>
      <c r="I33" s="378">
        <v>34</v>
      </c>
      <c r="J33" s="403">
        <f t="shared" si="3"/>
        <v>27</v>
      </c>
      <c r="L33" s="405">
        <f t="shared" si="4"/>
        <v>68.142857142857139</v>
      </c>
      <c r="M33" s="406">
        <f t="shared" si="5"/>
        <v>80.535714285714278</v>
      </c>
      <c r="N33" s="363"/>
      <c r="O33" s="143" t="str">
        <f t="shared" si="1"/>
        <v>Gina Schick</v>
      </c>
      <c r="P33" s="1">
        <v>32</v>
      </c>
      <c r="S33" s="143" t="str">
        <f t="shared" si="6"/>
        <v>Ethel</v>
      </c>
      <c r="T33" s="1">
        <v>38</v>
      </c>
    </row>
    <row r="34" spans="1:20" ht="17" thickTop="1" thickBot="1">
      <c r="A34" s="389" t="s">
        <v>296</v>
      </c>
      <c r="B34" s="390" t="s">
        <v>297</v>
      </c>
      <c r="C34" s="410">
        <v>8</v>
      </c>
      <c r="D34" s="379">
        <v>18</v>
      </c>
      <c r="E34" s="372">
        <v>22</v>
      </c>
      <c r="F34" s="403">
        <f t="shared" si="2"/>
        <v>18</v>
      </c>
      <c r="G34" s="410">
        <v>8</v>
      </c>
      <c r="H34" s="379">
        <v>31</v>
      </c>
      <c r="I34" s="378">
        <v>27</v>
      </c>
      <c r="J34" s="403">
        <f t="shared" si="3"/>
        <v>34.875</v>
      </c>
      <c r="L34" s="405">
        <f t="shared" si="4"/>
        <v>52.875</v>
      </c>
      <c r="M34" s="406">
        <f t="shared" si="5"/>
        <v>52.375</v>
      </c>
      <c r="N34" s="363"/>
      <c r="O34" s="143" t="str">
        <f t="shared" si="1"/>
        <v>Jack McGlaughlin</v>
      </c>
      <c r="P34" s="1">
        <v>31</v>
      </c>
      <c r="S34" s="143" t="str">
        <f t="shared" si="6"/>
        <v>Rachel Anstett</v>
      </c>
      <c r="T34" s="1">
        <v>37</v>
      </c>
    </row>
    <row r="35" spans="1:20" ht="17" thickTop="1" thickBot="1">
      <c r="A35" s="383" t="s">
        <v>298</v>
      </c>
      <c r="B35" s="384" t="s">
        <v>299</v>
      </c>
      <c r="C35" s="410">
        <v>8</v>
      </c>
      <c r="D35" s="377">
        <v>15</v>
      </c>
      <c r="E35" s="378">
        <v>26</v>
      </c>
      <c r="F35" s="403">
        <f t="shared" si="2"/>
        <v>15</v>
      </c>
      <c r="G35" s="410">
        <v>8</v>
      </c>
      <c r="H35" s="379">
        <v>24</v>
      </c>
      <c r="I35" s="378">
        <v>26</v>
      </c>
      <c r="J35" s="403">
        <f t="shared" si="3"/>
        <v>27</v>
      </c>
      <c r="L35" s="405">
        <f t="shared" si="4"/>
        <v>42</v>
      </c>
      <c r="M35" s="406">
        <f t="shared" si="5"/>
        <v>55.25</v>
      </c>
      <c r="N35" s="363"/>
      <c r="O35" s="143" t="str">
        <f t="shared" si="1"/>
        <v>Darcy Poitras</v>
      </c>
      <c r="P35" s="1">
        <v>30</v>
      </c>
      <c r="Q35" s="165"/>
      <c r="R35" s="165"/>
      <c r="S35" s="143" t="str">
        <f>B27</f>
        <v>Sean White</v>
      </c>
      <c r="T35" s="1">
        <v>50</v>
      </c>
    </row>
    <row r="36" spans="1:20" ht="17" thickTop="1" thickBot="1">
      <c r="A36" s="389" t="s">
        <v>300</v>
      </c>
      <c r="B36" s="390" t="s">
        <v>301</v>
      </c>
      <c r="C36" s="410">
        <v>7</v>
      </c>
      <c r="D36" s="377">
        <v>10</v>
      </c>
      <c r="E36" s="378">
        <v>17</v>
      </c>
      <c r="F36" s="403">
        <f t="shared" si="2"/>
        <v>11.428571428571429</v>
      </c>
      <c r="G36" s="410">
        <v>8</v>
      </c>
      <c r="H36" s="379">
        <v>20</v>
      </c>
      <c r="I36" s="378">
        <v>26</v>
      </c>
      <c r="J36" s="403">
        <f t="shared" si="3"/>
        <v>22.5</v>
      </c>
      <c r="L36" s="405">
        <f t="shared" si="4"/>
        <v>33.928571428571431</v>
      </c>
      <c r="M36" s="406">
        <f t="shared" si="5"/>
        <v>48.678571428571431</v>
      </c>
      <c r="N36" s="363"/>
      <c r="O36" s="143" t="str">
        <f t="shared" si="1"/>
        <v>Cathy Kuepfer</v>
      </c>
      <c r="P36" s="1">
        <v>29</v>
      </c>
      <c r="Q36" s="165"/>
      <c r="R36" s="165"/>
      <c r="S36" s="143" t="str">
        <f>B29</f>
        <v>Voeun Vann</v>
      </c>
      <c r="T36" s="1">
        <v>47</v>
      </c>
    </row>
    <row r="37" spans="1:20" ht="17" thickTop="1" thickBot="1">
      <c r="A37" s="413" t="s">
        <v>302</v>
      </c>
      <c r="B37" s="414" t="s">
        <v>303</v>
      </c>
      <c r="C37" s="415">
        <v>7</v>
      </c>
      <c r="D37" s="393">
        <v>16</v>
      </c>
      <c r="E37" s="394">
        <v>20</v>
      </c>
      <c r="F37" s="416">
        <f t="shared" si="2"/>
        <v>18.285714285714285</v>
      </c>
      <c r="G37" s="417">
        <v>9</v>
      </c>
      <c r="H37" s="395">
        <v>13</v>
      </c>
      <c r="I37" s="394">
        <v>30</v>
      </c>
      <c r="J37" s="416">
        <f t="shared" si="3"/>
        <v>13</v>
      </c>
      <c r="L37" s="418">
        <f t="shared" si="4"/>
        <v>31.285714285714285</v>
      </c>
      <c r="M37" s="419">
        <f t="shared" si="5"/>
        <v>52.857142857142861</v>
      </c>
      <c r="N37" s="363"/>
      <c r="O37" s="165"/>
      <c r="P37" s="165"/>
      <c r="Q37" s="165"/>
      <c r="R37" s="165"/>
      <c r="S37" s="143" t="str">
        <f>B28</f>
        <v>Darlene Kuepfer</v>
      </c>
      <c r="T37" s="1">
        <v>45</v>
      </c>
    </row>
    <row r="38" spans="1:20">
      <c r="A38" s="184"/>
      <c r="B38" s="531"/>
      <c r="C38" s="531"/>
      <c r="D38" s="531"/>
      <c r="E38" s="184"/>
      <c r="F38" s="184"/>
      <c r="G38" s="184"/>
      <c r="H38" s="184"/>
      <c r="I38" s="330"/>
      <c r="J38" s="330"/>
      <c r="M38" s="181"/>
      <c r="N38" s="363"/>
      <c r="O38" s="165"/>
      <c r="P38" s="165"/>
      <c r="Q38" s="165"/>
      <c r="R38" s="165"/>
      <c r="S38" s="143" t="str">
        <f t="shared" ref="S38:S43" si="7">B30</f>
        <v>Doug Mills</v>
      </c>
      <c r="T38" s="1">
        <v>43</v>
      </c>
    </row>
    <row r="39" spans="1:20">
      <c r="A39" s="184"/>
      <c r="B39" s="184" t="s">
        <v>304</v>
      </c>
      <c r="C39" s="184"/>
      <c r="D39" s="184"/>
      <c r="E39" s="184"/>
      <c r="F39" s="184"/>
      <c r="G39" s="184"/>
      <c r="H39" s="184"/>
      <c r="I39" s="330"/>
      <c r="J39" s="330"/>
      <c r="M39" s="181"/>
      <c r="N39" s="363"/>
      <c r="O39" s="165"/>
      <c r="P39" s="165"/>
      <c r="Q39" s="165"/>
      <c r="R39" s="165"/>
      <c r="S39" s="143" t="str">
        <f t="shared" si="7"/>
        <v>Fred Smith</v>
      </c>
      <c r="T39" s="1">
        <v>41</v>
      </c>
    </row>
    <row r="40" spans="1:20">
      <c r="A40" s="184"/>
      <c r="B40" s="184"/>
      <c r="C40" s="184" t="s">
        <v>28</v>
      </c>
      <c r="D40" s="184" t="s">
        <v>151</v>
      </c>
      <c r="E40" s="184"/>
      <c r="F40" s="184"/>
      <c r="G40" s="184"/>
      <c r="H40" s="184"/>
      <c r="I40" s="330"/>
      <c r="J40" s="330"/>
      <c r="M40" s="181"/>
      <c r="N40" s="363"/>
      <c r="O40" s="165"/>
      <c r="P40" s="165"/>
      <c r="Q40" s="165"/>
      <c r="R40" s="165"/>
      <c r="S40" s="143" t="str">
        <f t="shared" si="7"/>
        <v>Sjoukje Steenbeek</v>
      </c>
      <c r="T40" s="1">
        <v>40</v>
      </c>
    </row>
    <row r="41" spans="1:20">
      <c r="A41" s="184" t="s">
        <v>2</v>
      </c>
      <c r="B41" s="361" t="s">
        <v>5</v>
      </c>
      <c r="C41" s="361" t="s">
        <v>305</v>
      </c>
      <c r="D41" s="361">
        <v>1</v>
      </c>
      <c r="E41" s="184"/>
      <c r="F41" s="184"/>
      <c r="G41" s="184"/>
      <c r="H41" s="184"/>
      <c r="I41" s="330"/>
      <c r="J41" s="330"/>
      <c r="M41" s="181"/>
      <c r="N41" s="363"/>
      <c r="O41" s="165"/>
      <c r="P41" s="165"/>
      <c r="Q41" s="165"/>
      <c r="R41" s="165"/>
      <c r="S41" s="143" t="str">
        <f t="shared" si="7"/>
        <v>Maxine Whitmore</v>
      </c>
      <c r="T41" s="1">
        <v>39</v>
      </c>
    </row>
    <row r="42" spans="1:20">
      <c r="A42" s="184" t="s">
        <v>36</v>
      </c>
      <c r="B42" s="361" t="s">
        <v>35</v>
      </c>
      <c r="C42" s="361" t="s">
        <v>305</v>
      </c>
      <c r="D42" s="361">
        <v>2</v>
      </c>
      <c r="E42" s="184"/>
      <c r="F42" s="184"/>
      <c r="G42" s="184"/>
      <c r="H42" s="184"/>
      <c r="I42" s="330"/>
      <c r="J42" s="330"/>
      <c r="M42" s="363"/>
      <c r="N42" s="363"/>
      <c r="O42" s="165"/>
      <c r="P42" s="165"/>
      <c r="Q42" s="165"/>
      <c r="R42" s="165"/>
      <c r="S42" s="143" t="str">
        <f t="shared" si="7"/>
        <v>Joan</v>
      </c>
      <c r="T42" s="1">
        <v>38</v>
      </c>
    </row>
    <row r="43" spans="1:20">
      <c r="A43" s="184"/>
      <c r="E43" s="184"/>
      <c r="F43" s="184"/>
      <c r="G43" s="184"/>
      <c r="H43" s="184"/>
      <c r="I43" s="330"/>
      <c r="J43" s="330"/>
      <c r="M43" s="363"/>
      <c r="N43" s="363"/>
      <c r="O43" s="165"/>
      <c r="P43" s="165"/>
      <c r="Q43" s="165"/>
      <c r="R43" s="165"/>
      <c r="S43" s="143" t="str">
        <f t="shared" si="7"/>
        <v>Janet Diebel</v>
      </c>
      <c r="T43" s="1">
        <v>37</v>
      </c>
    </row>
    <row r="44" spans="1:20">
      <c r="A44" s="184" t="s">
        <v>306</v>
      </c>
      <c r="B44" s="361" t="s">
        <v>307</v>
      </c>
      <c r="C44" s="184" t="s">
        <v>28</v>
      </c>
      <c r="D44" s="184" t="s">
        <v>151</v>
      </c>
      <c r="E44" s="184"/>
      <c r="F44" s="184"/>
      <c r="G44" s="184"/>
      <c r="H44" s="184"/>
      <c r="I44" s="330"/>
      <c r="J44" s="330"/>
      <c r="M44" s="363"/>
      <c r="N44" s="412"/>
      <c r="O44" s="368"/>
      <c r="P44" s="368"/>
      <c r="Q44" s="368"/>
      <c r="R44" s="368"/>
    </row>
    <row r="45" spans="1:20">
      <c r="A45" s="361" t="s">
        <v>38</v>
      </c>
      <c r="B45" s="361" t="s">
        <v>37</v>
      </c>
      <c r="C45" s="361">
        <v>10</v>
      </c>
      <c r="D45" s="361">
        <v>3</v>
      </c>
      <c r="M45" s="181"/>
      <c r="N45" s="363"/>
      <c r="O45" s="368"/>
      <c r="P45" s="368"/>
      <c r="Q45" s="368"/>
      <c r="R45" s="368"/>
    </row>
    <row r="46" spans="1:20">
      <c r="A46" s="361" t="s">
        <v>279</v>
      </c>
      <c r="B46" s="361" t="s">
        <v>280</v>
      </c>
      <c r="C46" s="361">
        <v>2</v>
      </c>
      <c r="D46" s="361">
        <v>6</v>
      </c>
      <c r="M46" s="181"/>
      <c r="N46" s="363"/>
      <c r="O46" s="368"/>
      <c r="P46" s="368"/>
      <c r="Q46" s="368"/>
      <c r="R46" s="368"/>
    </row>
    <row r="47" spans="1:20">
      <c r="M47" s="181"/>
      <c r="N47" s="363"/>
      <c r="O47" s="165"/>
      <c r="P47" s="184"/>
      <c r="Q47" s="165"/>
      <c r="R47" s="184"/>
    </row>
    <row r="48" spans="1:20">
      <c r="A48" s="184" t="s">
        <v>306</v>
      </c>
      <c r="B48" s="361" t="s">
        <v>307</v>
      </c>
      <c r="C48" s="184" t="s">
        <v>28</v>
      </c>
      <c r="D48" s="184" t="s">
        <v>151</v>
      </c>
      <c r="M48" s="181"/>
      <c r="N48" s="363"/>
      <c r="O48" s="165"/>
      <c r="P48" s="184"/>
      <c r="Q48" s="165"/>
      <c r="R48" s="184"/>
    </row>
    <row r="49" spans="1:18">
      <c r="A49" s="361" t="s">
        <v>6</v>
      </c>
      <c r="B49" s="361" t="s">
        <v>3</v>
      </c>
      <c r="C49" s="361">
        <v>10</v>
      </c>
      <c r="D49" s="361">
        <v>4</v>
      </c>
      <c r="M49" s="181"/>
      <c r="N49" s="363"/>
      <c r="O49" s="165"/>
      <c r="P49" s="184"/>
      <c r="Q49" s="165"/>
      <c r="R49" s="184"/>
    </row>
    <row r="50" spans="1:18">
      <c r="A50" s="361" t="s">
        <v>278</v>
      </c>
      <c r="B50" s="361" t="s">
        <v>16</v>
      </c>
      <c r="C50" s="361">
        <v>4</v>
      </c>
      <c r="D50" s="361">
        <v>5</v>
      </c>
      <c r="M50" s="181"/>
      <c r="N50" s="363"/>
      <c r="O50" s="165"/>
      <c r="P50" s="184"/>
      <c r="Q50" s="165"/>
      <c r="R50" s="184"/>
    </row>
    <row r="51" spans="1:18">
      <c r="B51" s="420"/>
      <c r="C51" s="420"/>
      <c r="D51" s="420"/>
      <c r="M51" s="181"/>
      <c r="N51" s="363"/>
      <c r="O51" s="165"/>
      <c r="P51" s="184"/>
      <c r="Q51" s="165"/>
      <c r="R51" s="184"/>
    </row>
    <row r="52" spans="1:18">
      <c r="A52" s="184" t="s">
        <v>308</v>
      </c>
      <c r="B52" s="361" t="s">
        <v>307</v>
      </c>
      <c r="C52" s="184" t="s">
        <v>28</v>
      </c>
      <c r="D52" s="184" t="s">
        <v>151</v>
      </c>
      <c r="M52" s="181"/>
      <c r="N52" s="363"/>
      <c r="O52" s="165"/>
      <c r="P52" s="184"/>
      <c r="Q52" s="165"/>
      <c r="R52" s="184"/>
    </row>
    <row r="53" spans="1:18">
      <c r="A53" s="184" t="s">
        <v>2</v>
      </c>
      <c r="B53" s="361" t="s">
        <v>5</v>
      </c>
      <c r="C53" s="361">
        <v>10</v>
      </c>
      <c r="D53" s="361">
        <v>1</v>
      </c>
      <c r="M53" s="181"/>
      <c r="N53" s="363"/>
    </row>
    <row r="54" spans="1:18">
      <c r="A54" s="361" t="s">
        <v>6</v>
      </c>
      <c r="B54" s="361" t="s">
        <v>3</v>
      </c>
      <c r="C54" s="361">
        <v>2</v>
      </c>
      <c r="D54" s="361">
        <v>4</v>
      </c>
      <c r="M54" s="181"/>
      <c r="N54" s="363"/>
    </row>
    <row r="55" spans="1:18">
      <c r="M55" s="363"/>
      <c r="N55" s="363"/>
    </row>
    <row r="56" spans="1:18">
      <c r="A56" s="184" t="s">
        <v>308</v>
      </c>
      <c r="B56" s="361" t="s">
        <v>307</v>
      </c>
      <c r="C56" s="184" t="s">
        <v>28</v>
      </c>
      <c r="D56" s="184" t="s">
        <v>151</v>
      </c>
      <c r="M56" s="363"/>
      <c r="N56" s="363"/>
    </row>
    <row r="57" spans="1:18">
      <c r="A57" s="184" t="s">
        <v>36</v>
      </c>
      <c r="B57" s="361" t="s">
        <v>35</v>
      </c>
      <c r="C57" s="361">
        <v>10</v>
      </c>
      <c r="D57" s="361">
        <v>2</v>
      </c>
      <c r="M57" s="363"/>
      <c r="N57" s="363"/>
    </row>
    <row r="58" spans="1:18">
      <c r="A58" s="361" t="s">
        <v>38</v>
      </c>
      <c r="B58" s="361" t="s">
        <v>37</v>
      </c>
      <c r="C58" s="361">
        <v>4</v>
      </c>
      <c r="D58" s="361">
        <v>3</v>
      </c>
      <c r="M58" s="363"/>
      <c r="N58" s="363"/>
    </row>
    <row r="59" spans="1:18">
      <c r="M59" s="363"/>
      <c r="N59" s="363"/>
    </row>
    <row r="60" spans="1:18">
      <c r="A60" s="184" t="s">
        <v>309</v>
      </c>
      <c r="B60" s="361" t="s">
        <v>310</v>
      </c>
      <c r="C60" s="184" t="s">
        <v>28</v>
      </c>
      <c r="D60" s="184" t="s">
        <v>151</v>
      </c>
      <c r="M60" s="363"/>
      <c r="N60" s="363"/>
    </row>
    <row r="61" spans="1:18">
      <c r="A61" s="184" t="s">
        <v>2</v>
      </c>
      <c r="B61" s="361" t="s">
        <v>5</v>
      </c>
      <c r="C61" s="361">
        <v>12</v>
      </c>
      <c r="D61" s="361">
        <v>1</v>
      </c>
      <c r="M61" s="363"/>
      <c r="N61" s="363"/>
    </row>
    <row r="62" spans="1:18">
      <c r="A62" s="184" t="s">
        <v>36</v>
      </c>
      <c r="B62" s="361" t="s">
        <v>35</v>
      </c>
      <c r="C62" s="361">
        <v>10</v>
      </c>
      <c r="D62" s="361">
        <v>2</v>
      </c>
    </row>
    <row r="64" spans="1:18">
      <c r="B64" s="184" t="s">
        <v>311</v>
      </c>
    </row>
    <row r="66" spans="1:14">
      <c r="A66" s="184" t="s">
        <v>308</v>
      </c>
      <c r="B66" s="361" t="s">
        <v>307</v>
      </c>
      <c r="C66" s="184" t="s">
        <v>28</v>
      </c>
      <c r="D66" s="184" t="s">
        <v>151</v>
      </c>
      <c r="E66"/>
      <c r="F66"/>
      <c r="G66"/>
      <c r="H66"/>
      <c r="I66"/>
      <c r="J66"/>
      <c r="M66"/>
      <c r="N66"/>
    </row>
    <row r="67" spans="1:14">
      <c r="A67" s="184" t="s">
        <v>286</v>
      </c>
      <c r="B67" s="361" t="s">
        <v>287</v>
      </c>
      <c r="C67" s="361">
        <v>10</v>
      </c>
      <c r="D67" s="361">
        <v>1</v>
      </c>
      <c r="E67"/>
      <c r="F67"/>
      <c r="G67"/>
      <c r="H67"/>
      <c r="I67"/>
      <c r="J67"/>
      <c r="M67"/>
      <c r="N67"/>
    </row>
    <row r="68" spans="1:14">
      <c r="A68" s="361" t="s">
        <v>289</v>
      </c>
      <c r="B68" s="361" t="s">
        <v>290</v>
      </c>
      <c r="C68" s="361">
        <v>0</v>
      </c>
      <c r="D68" s="361">
        <v>4</v>
      </c>
      <c r="E68"/>
      <c r="F68"/>
      <c r="G68"/>
      <c r="H68"/>
      <c r="I68"/>
      <c r="J68"/>
      <c r="M68"/>
      <c r="N68"/>
    </row>
    <row r="69" spans="1:14">
      <c r="E69"/>
      <c r="F69"/>
      <c r="G69"/>
      <c r="H69"/>
      <c r="I69"/>
      <c r="J69"/>
      <c r="M69"/>
      <c r="N69"/>
    </row>
    <row r="70" spans="1:14">
      <c r="A70" s="184" t="s">
        <v>308</v>
      </c>
      <c r="B70" s="361" t="s">
        <v>307</v>
      </c>
      <c r="C70" s="184" t="s">
        <v>28</v>
      </c>
      <c r="D70" s="184" t="s">
        <v>151</v>
      </c>
      <c r="E70"/>
      <c r="F70"/>
      <c r="G70"/>
      <c r="H70"/>
      <c r="I70"/>
      <c r="J70"/>
      <c r="M70"/>
      <c r="N70"/>
    </row>
    <row r="71" spans="1:14">
      <c r="A71" s="12" t="s">
        <v>32</v>
      </c>
      <c r="B71" s="12" t="s">
        <v>288</v>
      </c>
      <c r="C71" s="361">
        <v>8</v>
      </c>
      <c r="D71" s="361">
        <v>2</v>
      </c>
      <c r="E71"/>
      <c r="F71"/>
      <c r="G71"/>
      <c r="H71"/>
      <c r="I71"/>
      <c r="J71"/>
      <c r="M71"/>
      <c r="N71"/>
    </row>
    <row r="72" spans="1:14">
      <c r="A72" s="177" t="s">
        <v>124</v>
      </c>
      <c r="B72" s="177" t="s">
        <v>123</v>
      </c>
      <c r="C72" s="361">
        <v>10</v>
      </c>
      <c r="D72" s="361">
        <v>3</v>
      </c>
      <c r="E72"/>
      <c r="F72"/>
      <c r="G72"/>
      <c r="H72"/>
      <c r="I72"/>
      <c r="J72"/>
      <c r="M72"/>
      <c r="N72"/>
    </row>
    <row r="73" spans="1:14">
      <c r="E73"/>
      <c r="F73"/>
      <c r="G73"/>
      <c r="H73"/>
      <c r="I73"/>
      <c r="J73"/>
      <c r="M73"/>
      <c r="N73"/>
    </row>
    <row r="74" spans="1:14">
      <c r="A74" s="184" t="s">
        <v>309</v>
      </c>
      <c r="B74" s="361" t="s">
        <v>307</v>
      </c>
      <c r="C74" s="184" t="s">
        <v>28</v>
      </c>
      <c r="D74" s="184" t="s">
        <v>151</v>
      </c>
      <c r="E74"/>
      <c r="F74"/>
      <c r="G74"/>
      <c r="H74"/>
      <c r="I74"/>
      <c r="J74"/>
      <c r="M74"/>
      <c r="N74"/>
    </row>
    <row r="75" spans="1:14">
      <c r="A75" s="184" t="s">
        <v>286</v>
      </c>
      <c r="B75" s="361" t="s">
        <v>287</v>
      </c>
      <c r="C75" s="361">
        <v>10</v>
      </c>
      <c r="D75" s="361">
        <v>1</v>
      </c>
      <c r="E75"/>
      <c r="F75"/>
      <c r="G75"/>
      <c r="H75"/>
      <c r="I75"/>
      <c r="J75"/>
      <c r="M75"/>
      <c r="N75"/>
    </row>
    <row r="76" spans="1:14">
      <c r="A76" s="177" t="s">
        <v>124</v>
      </c>
      <c r="B76" s="177" t="s">
        <v>123</v>
      </c>
      <c r="C76" s="361">
        <v>4</v>
      </c>
      <c r="D76" s="361">
        <v>3</v>
      </c>
      <c r="E76"/>
      <c r="F76"/>
      <c r="G76"/>
      <c r="H76"/>
      <c r="I76"/>
      <c r="J76"/>
      <c r="M76"/>
      <c r="N76"/>
    </row>
  </sheetData>
  <mergeCells count="10">
    <mergeCell ref="B24:D24"/>
    <mergeCell ref="D25:E25"/>
    <mergeCell ref="H25:I25"/>
    <mergeCell ref="L25:M25"/>
    <mergeCell ref="B38:D38"/>
    <mergeCell ref="A1:M1"/>
    <mergeCell ref="C4:D4"/>
    <mergeCell ref="E4:F4"/>
    <mergeCell ref="G4:H4"/>
    <mergeCell ref="L4:M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workbookViewId="0">
      <selection activeCell="U19" sqref="U19:U20"/>
    </sheetView>
  </sheetViews>
  <sheetFormatPr baseColWidth="10" defaultColWidth="12.6640625" defaultRowHeight="15" x14ac:dyDescent="0"/>
  <cols>
    <col min="1" max="1" width="4.83203125" customWidth="1"/>
    <col min="3" max="3" width="5.6640625" customWidth="1"/>
    <col min="4" max="4" width="4.83203125" customWidth="1"/>
    <col min="5" max="5" width="15.1640625" customWidth="1"/>
    <col min="6" max="6" width="4.5" customWidth="1"/>
    <col min="7" max="7" width="4.83203125" customWidth="1"/>
    <col min="8" max="8" width="13.6640625" customWidth="1"/>
    <col min="9" max="9" width="4.5" customWidth="1"/>
    <col min="10" max="10" width="5.83203125" customWidth="1"/>
    <col min="12" max="12" width="7.1640625" customWidth="1"/>
    <col min="13" max="13" width="5.1640625" customWidth="1"/>
    <col min="14" max="14" width="14.6640625" customWidth="1"/>
    <col min="15" max="15" width="6" customWidth="1"/>
    <col min="16" max="16" width="5.6640625" customWidth="1"/>
    <col min="17" max="17" width="8.1640625" customWidth="1"/>
    <col min="18" max="18" width="12.6640625" customWidth="1"/>
    <col min="19" max="19" width="18.5" customWidth="1"/>
    <col min="20" max="20" width="10" style="421" customWidth="1"/>
    <col min="21" max="21" width="11.5" customWidth="1"/>
    <col min="22" max="22" width="18.5" customWidth="1"/>
    <col min="23" max="23" width="10" style="421" customWidth="1"/>
    <col min="24" max="24" width="11.5" customWidth="1"/>
  </cols>
  <sheetData>
    <row r="1" spans="1:24">
      <c r="A1" t="s">
        <v>363</v>
      </c>
    </row>
    <row r="2" spans="1:24" s="423" customFormat="1" ht="15.75" customHeight="1">
      <c r="B2" s="424" t="s">
        <v>277</v>
      </c>
      <c r="C2" s="425"/>
      <c r="D2" s="425"/>
      <c r="E2" s="425"/>
      <c r="F2" s="425"/>
      <c r="G2" s="425"/>
      <c r="H2" s="425"/>
      <c r="I2" s="425"/>
      <c r="J2" s="425"/>
      <c r="K2" s="425"/>
      <c r="L2" s="425"/>
      <c r="M2" s="425"/>
      <c r="S2" s="131" t="s">
        <v>13</v>
      </c>
      <c r="T2" s="131" t="s">
        <v>15</v>
      </c>
      <c r="U2"/>
      <c r="V2" s="131" t="s">
        <v>13</v>
      </c>
      <c r="W2" s="131" t="s">
        <v>15</v>
      </c>
      <c r="X2"/>
    </row>
    <row r="3" spans="1:24" s="423" customFormat="1" ht="15.75" customHeight="1">
      <c r="A3" s="426"/>
      <c r="B3" s="427" t="s">
        <v>315</v>
      </c>
      <c r="C3" s="427" t="s">
        <v>316</v>
      </c>
      <c r="D3" s="427" t="s">
        <v>1</v>
      </c>
      <c r="E3" s="428" t="s">
        <v>317</v>
      </c>
      <c r="F3" s="428" t="s">
        <v>316</v>
      </c>
      <c r="G3" s="428" t="s">
        <v>1</v>
      </c>
      <c r="H3" s="429" t="s">
        <v>318</v>
      </c>
      <c r="I3" s="429" t="s">
        <v>316</v>
      </c>
      <c r="J3" s="429" t="s">
        <v>1</v>
      </c>
      <c r="K3" s="430" t="s">
        <v>319</v>
      </c>
      <c r="L3" s="430" t="s">
        <v>316</v>
      </c>
      <c r="M3" s="430" t="s">
        <v>1</v>
      </c>
      <c r="S3" s="143" t="s">
        <v>34</v>
      </c>
      <c r="T3" s="1">
        <v>50</v>
      </c>
      <c r="U3"/>
      <c r="V3" s="143" t="s">
        <v>32</v>
      </c>
      <c r="W3" s="1">
        <v>50</v>
      </c>
      <c r="X3"/>
    </row>
    <row r="4" spans="1:24" s="423" customFormat="1" ht="15.75" customHeight="1">
      <c r="A4" s="426">
        <v>1</v>
      </c>
      <c r="B4" s="431" t="s">
        <v>155</v>
      </c>
      <c r="C4" s="431">
        <v>61</v>
      </c>
      <c r="D4" s="431">
        <v>85</v>
      </c>
      <c r="E4" s="432" t="s">
        <v>4</v>
      </c>
      <c r="F4" s="432">
        <v>54</v>
      </c>
      <c r="G4" s="432">
        <v>85</v>
      </c>
      <c r="H4" s="433" t="s">
        <v>35</v>
      </c>
      <c r="I4" s="433">
        <v>53</v>
      </c>
      <c r="J4" s="433">
        <v>68</v>
      </c>
      <c r="K4" s="434" t="s">
        <v>2</v>
      </c>
      <c r="L4" s="434">
        <v>55</v>
      </c>
      <c r="M4" s="434">
        <v>89</v>
      </c>
      <c r="S4" s="143" t="s">
        <v>42</v>
      </c>
      <c r="T4" s="1">
        <v>47</v>
      </c>
      <c r="U4"/>
      <c r="V4" s="143" t="str">
        <f>H18</f>
        <v>Graham Gaessler</v>
      </c>
      <c r="W4" s="1">
        <v>47</v>
      </c>
      <c r="X4"/>
    </row>
    <row r="5" spans="1:24" s="423" customFormat="1" ht="15.75" customHeight="1">
      <c r="A5" s="426">
        <v>2</v>
      </c>
      <c r="B5" s="431" t="s">
        <v>42</v>
      </c>
      <c r="C5" s="431">
        <v>60</v>
      </c>
      <c r="D5" s="431">
        <v>68</v>
      </c>
      <c r="E5" s="432" t="s">
        <v>36</v>
      </c>
      <c r="F5" s="432">
        <v>50</v>
      </c>
      <c r="G5" s="432">
        <v>83</v>
      </c>
      <c r="H5" s="433" t="s">
        <v>46</v>
      </c>
      <c r="I5" s="433">
        <v>51</v>
      </c>
      <c r="J5" s="433">
        <v>82</v>
      </c>
      <c r="K5" s="434" t="s">
        <v>280</v>
      </c>
      <c r="L5" s="434">
        <v>54</v>
      </c>
      <c r="M5" s="434">
        <v>64</v>
      </c>
      <c r="S5" s="143" t="s">
        <v>6</v>
      </c>
      <c r="T5" s="1">
        <v>45</v>
      </c>
      <c r="U5"/>
      <c r="V5" s="143" t="str">
        <f>E18</f>
        <v>Vuth Vann</v>
      </c>
      <c r="W5" s="1">
        <v>45</v>
      </c>
      <c r="X5"/>
    </row>
    <row r="6" spans="1:24" s="423" customFormat="1" ht="15.75" customHeight="1">
      <c r="A6" s="426">
        <v>3</v>
      </c>
      <c r="B6" s="431" t="s">
        <v>6</v>
      </c>
      <c r="C6" s="431">
        <v>59</v>
      </c>
      <c r="D6" s="431">
        <v>84</v>
      </c>
      <c r="E6" s="432" t="s">
        <v>320</v>
      </c>
      <c r="F6" s="432">
        <v>40</v>
      </c>
      <c r="G6" s="432">
        <v>84</v>
      </c>
      <c r="H6" s="433" t="s">
        <v>16</v>
      </c>
      <c r="I6" s="433">
        <v>48</v>
      </c>
      <c r="J6" s="433">
        <v>67</v>
      </c>
      <c r="K6" s="434" t="s">
        <v>34</v>
      </c>
      <c r="L6" s="434">
        <v>44</v>
      </c>
      <c r="M6" s="434">
        <v>101</v>
      </c>
      <c r="S6" s="143" t="s">
        <v>4</v>
      </c>
      <c r="T6" s="1">
        <v>43</v>
      </c>
      <c r="U6"/>
      <c r="V6" s="143" t="str">
        <f>B20</f>
        <v>Peter Stokoe</v>
      </c>
      <c r="W6" s="1">
        <v>43</v>
      </c>
      <c r="X6"/>
    </row>
    <row r="7" spans="1:24" s="423" customFormat="1" ht="15.75" customHeight="1">
      <c r="A7" s="426">
        <v>4</v>
      </c>
      <c r="B7" s="431" t="s">
        <v>278</v>
      </c>
      <c r="C7" s="431">
        <v>50</v>
      </c>
      <c r="D7" s="431">
        <v>67</v>
      </c>
      <c r="E7" s="432" t="s">
        <v>105</v>
      </c>
      <c r="F7" s="432">
        <v>40</v>
      </c>
      <c r="G7" s="432">
        <v>56</v>
      </c>
      <c r="H7" s="433" t="s">
        <v>321</v>
      </c>
      <c r="I7" s="433">
        <v>41</v>
      </c>
      <c r="J7" s="433">
        <v>68</v>
      </c>
      <c r="K7" s="434" t="s">
        <v>37</v>
      </c>
      <c r="L7" s="434">
        <v>44</v>
      </c>
      <c r="M7" s="434">
        <v>48</v>
      </c>
      <c r="S7" s="143" t="s">
        <v>36</v>
      </c>
      <c r="T7" s="1">
        <v>41</v>
      </c>
      <c r="U7"/>
      <c r="V7" s="143" t="str">
        <f>B50</f>
        <v>Dave McCormick</v>
      </c>
      <c r="W7" s="1">
        <v>41</v>
      </c>
      <c r="X7"/>
    </row>
    <row r="8" spans="1:24" s="423" customFormat="1" ht="15.75" customHeight="1">
      <c r="A8" s="426">
        <v>5</v>
      </c>
      <c r="B8" s="431" t="s">
        <v>30</v>
      </c>
      <c r="C8" s="431">
        <v>47</v>
      </c>
      <c r="D8" s="431">
        <v>78</v>
      </c>
      <c r="E8" s="432" t="s">
        <v>279</v>
      </c>
      <c r="F8" s="432">
        <v>36</v>
      </c>
      <c r="G8" s="432">
        <v>58</v>
      </c>
      <c r="H8" s="433" t="s">
        <v>50</v>
      </c>
      <c r="I8" s="433">
        <v>36</v>
      </c>
      <c r="J8" s="433">
        <v>60</v>
      </c>
      <c r="K8" s="434" t="s">
        <v>3</v>
      </c>
      <c r="L8" s="434">
        <v>38</v>
      </c>
      <c r="M8" s="434">
        <v>41</v>
      </c>
      <c r="S8" s="143" t="s">
        <v>16</v>
      </c>
      <c r="T8" s="1">
        <v>40</v>
      </c>
      <c r="U8"/>
      <c r="V8" s="143" t="str">
        <f t="shared" ref="V8:V12" si="0">B51</f>
        <v>Garret Tracey</v>
      </c>
      <c r="W8" s="1">
        <v>40</v>
      </c>
      <c r="X8"/>
    </row>
    <row r="9" spans="1:24" s="423" customFormat="1" ht="15.75" customHeight="1">
      <c r="A9" s="426">
        <v>6</v>
      </c>
      <c r="B9" s="431" t="s">
        <v>221</v>
      </c>
      <c r="C9" s="431">
        <v>44</v>
      </c>
      <c r="D9" s="431">
        <v>54</v>
      </c>
      <c r="E9" s="432" t="s">
        <v>254</v>
      </c>
      <c r="F9" s="432">
        <v>34</v>
      </c>
      <c r="G9" s="432">
        <v>72</v>
      </c>
      <c r="H9" s="433" t="s">
        <v>217</v>
      </c>
      <c r="I9" s="433">
        <v>34</v>
      </c>
      <c r="J9" s="433">
        <v>65</v>
      </c>
      <c r="K9" s="434" t="s">
        <v>8</v>
      </c>
      <c r="L9" s="434">
        <v>32</v>
      </c>
      <c r="M9" s="434">
        <v>44</v>
      </c>
      <c r="S9" s="143" t="s">
        <v>37</v>
      </c>
      <c r="T9" s="1">
        <v>39</v>
      </c>
      <c r="U9"/>
      <c r="V9" s="143" t="str">
        <f t="shared" si="0"/>
        <v>Voeun Vann</v>
      </c>
      <c r="W9" s="1">
        <v>39</v>
      </c>
      <c r="X9"/>
    </row>
    <row r="10" spans="1:24" s="423" customFormat="1" ht="15.75" customHeight="1">
      <c r="A10" s="426">
        <v>7</v>
      </c>
      <c r="B10" s="431" t="s">
        <v>47</v>
      </c>
      <c r="C10" s="431">
        <v>37</v>
      </c>
      <c r="D10" s="431">
        <v>69</v>
      </c>
      <c r="E10" s="432" t="s">
        <v>43</v>
      </c>
      <c r="F10" s="432">
        <v>32</v>
      </c>
      <c r="G10" s="432">
        <v>52</v>
      </c>
      <c r="H10" s="433" t="s">
        <v>322</v>
      </c>
      <c r="I10" s="433">
        <v>33</v>
      </c>
      <c r="J10" s="433">
        <v>55</v>
      </c>
      <c r="K10" s="434" t="s">
        <v>323</v>
      </c>
      <c r="L10" s="434">
        <v>31</v>
      </c>
      <c r="M10" s="434">
        <v>50</v>
      </c>
      <c r="S10" s="143" t="s">
        <v>35</v>
      </c>
      <c r="T10" s="1">
        <v>38</v>
      </c>
      <c r="U10"/>
      <c r="V10" s="143" t="str">
        <f t="shared" si="0"/>
        <v>Cathy Harrison</v>
      </c>
      <c r="W10" s="1">
        <v>38</v>
      </c>
      <c r="X10"/>
    </row>
    <row r="11" spans="1:24" s="423" customFormat="1" ht="15.75" customHeight="1">
      <c r="A11" s="426">
        <v>8</v>
      </c>
      <c r="B11" s="431" t="s">
        <v>208</v>
      </c>
      <c r="C11" s="431">
        <v>28</v>
      </c>
      <c r="D11" s="431">
        <v>41</v>
      </c>
      <c r="E11" s="432" t="s">
        <v>125</v>
      </c>
      <c r="F11" s="432">
        <v>30</v>
      </c>
      <c r="G11" s="432">
        <v>49</v>
      </c>
      <c r="H11" s="433" t="s">
        <v>38</v>
      </c>
      <c r="I11" s="433">
        <v>27</v>
      </c>
      <c r="J11" s="433">
        <v>74</v>
      </c>
      <c r="K11" s="434" t="s">
        <v>324</v>
      </c>
      <c r="L11" s="434">
        <v>27</v>
      </c>
      <c r="M11" s="434">
        <v>54</v>
      </c>
      <c r="N11"/>
      <c r="S11" s="143" t="s">
        <v>321</v>
      </c>
      <c r="T11" s="1">
        <v>37</v>
      </c>
      <c r="U11" s="160"/>
      <c r="V11" s="143" t="str">
        <f t="shared" si="0"/>
        <v>Carl Wiens</v>
      </c>
      <c r="W11" s="1">
        <v>37</v>
      </c>
      <c r="X11" s="160"/>
    </row>
    <row r="12" spans="1:24" s="423" customFormat="1" ht="15.75" customHeight="1">
      <c r="A12" s="426">
        <v>9</v>
      </c>
      <c r="B12" s="431" t="s">
        <v>325</v>
      </c>
      <c r="C12" s="431">
        <v>21</v>
      </c>
      <c r="D12" s="431">
        <v>28</v>
      </c>
      <c r="E12" s="432" t="s">
        <v>326</v>
      </c>
      <c r="F12" s="432">
        <v>27</v>
      </c>
      <c r="G12" s="432">
        <v>57</v>
      </c>
      <c r="H12" s="433" t="s">
        <v>327</v>
      </c>
      <c r="I12" s="433">
        <v>19</v>
      </c>
      <c r="J12" s="433">
        <v>57</v>
      </c>
      <c r="K12" s="434" t="s">
        <v>54</v>
      </c>
      <c r="L12" s="434">
        <v>20</v>
      </c>
      <c r="M12" s="434">
        <v>41</v>
      </c>
      <c r="N12"/>
      <c r="S12" s="143" t="s">
        <v>2</v>
      </c>
      <c r="T12" s="1">
        <v>36</v>
      </c>
      <c r="U12" s="160"/>
      <c r="V12" s="143" t="str">
        <f t="shared" si="0"/>
        <v>Albert Steffler</v>
      </c>
      <c r="W12" s="1">
        <v>36</v>
      </c>
      <c r="X12" s="160"/>
    </row>
    <row r="13" spans="1:24" s="423" customFormat="1" ht="15.75" customHeight="1">
      <c r="A13" s="426">
        <v>10</v>
      </c>
      <c r="B13" s="431" t="s">
        <v>328</v>
      </c>
      <c r="C13" s="431">
        <v>19</v>
      </c>
      <c r="D13" s="431">
        <v>52</v>
      </c>
      <c r="E13" s="432" t="s">
        <v>329</v>
      </c>
      <c r="F13" s="432">
        <v>17</v>
      </c>
      <c r="G13" s="432">
        <v>25</v>
      </c>
      <c r="H13" s="433" t="s">
        <v>121</v>
      </c>
      <c r="I13" s="433">
        <v>19</v>
      </c>
      <c r="J13" s="433">
        <v>44</v>
      </c>
      <c r="K13" s="434" t="s">
        <v>40</v>
      </c>
      <c r="L13" s="434">
        <v>15</v>
      </c>
      <c r="M13" s="434">
        <v>37</v>
      </c>
      <c r="N13"/>
      <c r="S13" s="143" t="s">
        <v>280</v>
      </c>
      <c r="T13" s="1">
        <v>35</v>
      </c>
      <c r="U13" s="160"/>
      <c r="V13" s="143" t="str">
        <f>N83</f>
        <v>Garth Harrison</v>
      </c>
      <c r="W13" s="1">
        <f>35+2</f>
        <v>37</v>
      </c>
      <c r="X13" s="186" t="s">
        <v>227</v>
      </c>
    </row>
    <row r="14" spans="1:24" s="423" customFormat="1" ht="15.75" customHeight="1">
      <c r="A14" s="426">
        <v>11</v>
      </c>
      <c r="B14" s="431" t="s">
        <v>330</v>
      </c>
      <c r="C14" s="431">
        <v>16</v>
      </c>
      <c r="D14" s="431">
        <v>44</v>
      </c>
      <c r="E14" s="432"/>
      <c r="F14" s="432"/>
      <c r="G14" s="432"/>
      <c r="H14" s="433"/>
      <c r="I14" s="433"/>
      <c r="J14" s="433"/>
      <c r="K14" s="434"/>
      <c r="L14" s="435"/>
      <c r="M14" s="435"/>
      <c r="N14"/>
      <c r="S14" s="143" t="s">
        <v>320</v>
      </c>
      <c r="T14" s="1">
        <f>34</f>
        <v>34</v>
      </c>
      <c r="U14" s="160"/>
      <c r="V14" s="143" t="str">
        <f>E46</f>
        <v>Nolan Bechtel</v>
      </c>
      <c r="W14" s="1">
        <f>34+1</f>
        <v>35</v>
      </c>
      <c r="X14" s="186" t="s">
        <v>228</v>
      </c>
    </row>
    <row r="15" spans="1:24" s="423" customFormat="1" ht="15.75" customHeight="1">
      <c r="N15"/>
      <c r="S15" s="143" t="s">
        <v>278</v>
      </c>
      <c r="T15" s="1">
        <v>33</v>
      </c>
      <c r="U15" s="160"/>
      <c r="V15" s="143" t="str">
        <f>E48</f>
        <v>Sean Geldart</v>
      </c>
      <c r="W15" s="1">
        <v>33</v>
      </c>
      <c r="X15" s="160"/>
    </row>
    <row r="16" spans="1:24" s="423" customFormat="1" ht="15.75" customHeight="1">
      <c r="B16" s="424" t="s">
        <v>284</v>
      </c>
      <c r="C16" s="425"/>
      <c r="D16" s="425"/>
      <c r="E16" s="425"/>
      <c r="F16" s="425"/>
      <c r="G16" s="425"/>
      <c r="H16" s="425"/>
      <c r="I16" s="425"/>
      <c r="J16" s="425"/>
      <c r="K16"/>
      <c r="L16"/>
      <c r="M16"/>
      <c r="N16"/>
      <c r="O16"/>
      <c r="P16"/>
      <c r="Q16"/>
      <c r="S16" s="143" t="s">
        <v>30</v>
      </c>
      <c r="T16" s="1">
        <v>32</v>
      </c>
      <c r="U16" s="160"/>
      <c r="V16" s="143" t="str">
        <f t="shared" ref="V16:V21" si="1">E49</f>
        <v>Kathi Fisher</v>
      </c>
      <c r="W16" s="1">
        <v>32</v>
      </c>
      <c r="X16" s="160"/>
    </row>
    <row r="17" spans="1:25" s="423" customFormat="1" ht="15.75" customHeight="1">
      <c r="B17" s="427" t="s">
        <v>315</v>
      </c>
      <c r="C17" s="427" t="s">
        <v>316</v>
      </c>
      <c r="D17" s="427" t="s">
        <v>1</v>
      </c>
      <c r="E17" s="428" t="s">
        <v>317</v>
      </c>
      <c r="F17" s="428" t="s">
        <v>316</v>
      </c>
      <c r="G17" s="428" t="s">
        <v>1</v>
      </c>
      <c r="H17" s="429" t="s">
        <v>318</v>
      </c>
      <c r="I17" s="429" t="s">
        <v>316</v>
      </c>
      <c r="J17" s="429" t="s">
        <v>1</v>
      </c>
      <c r="K17"/>
      <c r="L17"/>
      <c r="M17"/>
      <c r="N17"/>
      <c r="O17"/>
      <c r="P17"/>
      <c r="Q17"/>
      <c r="S17" s="143" t="s">
        <v>155</v>
      </c>
      <c r="T17" s="1">
        <v>31</v>
      </c>
      <c r="U17" s="160"/>
      <c r="V17" s="143" t="str">
        <f t="shared" si="1"/>
        <v>Lydia Gaessler</v>
      </c>
      <c r="W17" s="1">
        <v>31</v>
      </c>
      <c r="X17" s="160"/>
    </row>
    <row r="18" spans="1:25" s="423" customFormat="1" ht="15.75" customHeight="1">
      <c r="A18" s="426">
        <v>1</v>
      </c>
      <c r="B18" s="431" t="s">
        <v>332</v>
      </c>
      <c r="C18" s="431">
        <v>49</v>
      </c>
      <c r="D18" s="431">
        <v>34</v>
      </c>
      <c r="E18" s="432" t="s">
        <v>124</v>
      </c>
      <c r="F18" s="432">
        <v>53</v>
      </c>
      <c r="G18" s="432">
        <v>57</v>
      </c>
      <c r="H18" s="433" t="s">
        <v>333</v>
      </c>
      <c r="I18" s="433">
        <v>52</v>
      </c>
      <c r="J18" s="433">
        <v>34</v>
      </c>
      <c r="K18"/>
      <c r="L18"/>
      <c r="M18"/>
      <c r="N18"/>
      <c r="O18"/>
      <c r="P18"/>
      <c r="Q18"/>
      <c r="S18" s="143" t="s">
        <v>46</v>
      </c>
      <c r="T18" s="1">
        <v>30</v>
      </c>
      <c r="U18"/>
      <c r="V18" s="143" t="str">
        <f t="shared" si="1"/>
        <v>Scott Barkey</v>
      </c>
      <c r="W18" s="1">
        <v>30</v>
      </c>
      <c r="X18"/>
    </row>
    <row r="19" spans="1:25" s="423" customFormat="1" ht="15.75" customHeight="1">
      <c r="A19" s="426">
        <v>2</v>
      </c>
      <c r="B19" s="431" t="s">
        <v>32</v>
      </c>
      <c r="C19" s="431">
        <v>48</v>
      </c>
      <c r="D19" s="431">
        <v>40</v>
      </c>
      <c r="E19" s="432" t="s">
        <v>334</v>
      </c>
      <c r="F19" s="432">
        <v>49</v>
      </c>
      <c r="G19" s="432">
        <v>37</v>
      </c>
      <c r="H19" s="433" t="s">
        <v>335</v>
      </c>
      <c r="I19" s="433">
        <v>44</v>
      </c>
      <c r="J19" s="433">
        <v>40</v>
      </c>
      <c r="K19"/>
      <c r="L19"/>
      <c r="M19"/>
      <c r="N19"/>
      <c r="O19"/>
      <c r="P19"/>
      <c r="Q19"/>
      <c r="S19" s="143" t="s">
        <v>105</v>
      </c>
      <c r="T19" s="1">
        <f>29+2</f>
        <v>31</v>
      </c>
      <c r="U19" s="186" t="s">
        <v>227</v>
      </c>
      <c r="V19" s="143" t="str">
        <f t="shared" si="1"/>
        <v>David Stokoe</v>
      </c>
      <c r="W19" s="1">
        <v>29</v>
      </c>
      <c r="X19" s="160"/>
    </row>
    <row r="20" spans="1:25" s="423" customFormat="1" ht="15.75" customHeight="1">
      <c r="A20" s="426">
        <v>3</v>
      </c>
      <c r="B20" s="431" t="s">
        <v>338</v>
      </c>
      <c r="C20" s="431">
        <v>43</v>
      </c>
      <c r="D20" s="431">
        <v>21</v>
      </c>
      <c r="E20" s="432" t="s">
        <v>339</v>
      </c>
      <c r="F20" s="432">
        <v>37</v>
      </c>
      <c r="G20" s="432">
        <v>22</v>
      </c>
      <c r="H20" s="433" t="s">
        <v>340</v>
      </c>
      <c r="I20" s="433">
        <v>43</v>
      </c>
      <c r="J20" s="433">
        <v>38</v>
      </c>
      <c r="K20"/>
      <c r="L20"/>
      <c r="M20"/>
      <c r="N20"/>
      <c r="O20"/>
      <c r="P20"/>
      <c r="Q20"/>
      <c r="S20" s="143" t="s">
        <v>279</v>
      </c>
      <c r="T20" s="1">
        <f>28+1</f>
        <v>29</v>
      </c>
      <c r="U20" s="186" t="s">
        <v>228</v>
      </c>
      <c r="V20" s="143" t="str">
        <f t="shared" si="1"/>
        <v>Nick Faria</v>
      </c>
      <c r="W20" s="1">
        <v>28</v>
      </c>
      <c r="X20" s="160"/>
    </row>
    <row r="21" spans="1:25" s="423" customFormat="1" ht="15.75" customHeight="1">
      <c r="A21" s="426">
        <v>4</v>
      </c>
      <c r="B21" s="431" t="s">
        <v>342</v>
      </c>
      <c r="C21" s="431">
        <v>40</v>
      </c>
      <c r="D21" s="431">
        <v>20</v>
      </c>
      <c r="E21" s="432" t="s">
        <v>343</v>
      </c>
      <c r="F21" s="432">
        <v>36</v>
      </c>
      <c r="G21" s="432">
        <v>25</v>
      </c>
      <c r="H21" s="433" t="s">
        <v>123</v>
      </c>
      <c r="I21" s="433">
        <v>40</v>
      </c>
      <c r="J21" s="433">
        <v>46</v>
      </c>
      <c r="K21"/>
      <c r="L21"/>
      <c r="M21"/>
      <c r="N21"/>
      <c r="O21"/>
      <c r="P21"/>
      <c r="Q21"/>
      <c r="S21" s="143" t="s">
        <v>50</v>
      </c>
      <c r="T21" s="1">
        <v>27</v>
      </c>
      <c r="U21"/>
      <c r="V21" s="143" t="str">
        <f t="shared" si="1"/>
        <v>Doreen Sulkye</v>
      </c>
      <c r="W21" s="1">
        <v>27</v>
      </c>
      <c r="X21"/>
    </row>
    <row r="22" spans="1:25" s="423" customFormat="1" ht="15.75" customHeight="1">
      <c r="A22" s="426">
        <v>5</v>
      </c>
      <c r="B22" s="431" t="s">
        <v>346</v>
      </c>
      <c r="C22" s="431">
        <v>38</v>
      </c>
      <c r="D22" s="431">
        <v>31</v>
      </c>
      <c r="E22" s="432" t="s">
        <v>136</v>
      </c>
      <c r="F22" s="432">
        <v>33</v>
      </c>
      <c r="G22" s="432">
        <v>21</v>
      </c>
      <c r="H22" s="433" t="s">
        <v>347</v>
      </c>
      <c r="I22" s="433">
        <v>34</v>
      </c>
      <c r="J22" s="433">
        <v>37</v>
      </c>
      <c r="K22"/>
      <c r="L22"/>
      <c r="M22"/>
      <c r="N22"/>
      <c r="O22"/>
      <c r="P22"/>
      <c r="Q22"/>
      <c r="S22" s="143" t="s">
        <v>3</v>
      </c>
      <c r="T22" s="1">
        <v>26</v>
      </c>
      <c r="U22"/>
      <c r="V22" s="143" t="str">
        <f>N87</f>
        <v>Crystal Campbell</v>
      </c>
      <c r="W22" s="1">
        <f>26+2</f>
        <v>28</v>
      </c>
      <c r="X22" s="186" t="s">
        <v>227</v>
      </c>
    </row>
    <row r="23" spans="1:25" s="423" customFormat="1" ht="15.75" customHeight="1">
      <c r="A23" s="426">
        <v>6</v>
      </c>
      <c r="B23" s="431" t="s">
        <v>48</v>
      </c>
      <c r="C23" s="431">
        <v>36</v>
      </c>
      <c r="D23" s="431">
        <v>30</v>
      </c>
      <c r="E23" s="432" t="s">
        <v>349</v>
      </c>
      <c r="F23" s="432">
        <v>28</v>
      </c>
      <c r="G23" s="432">
        <v>24</v>
      </c>
      <c r="H23" s="433" t="s">
        <v>350</v>
      </c>
      <c r="I23" s="433">
        <v>29</v>
      </c>
      <c r="J23" s="433">
        <v>28</v>
      </c>
      <c r="K23"/>
      <c r="L23"/>
      <c r="M23"/>
      <c r="N23"/>
      <c r="O23"/>
      <c r="P23"/>
      <c r="Q23"/>
      <c r="S23" s="143" t="s">
        <v>39</v>
      </c>
      <c r="T23" s="1">
        <v>25</v>
      </c>
      <c r="U23"/>
      <c r="V23" s="143" t="str">
        <f>H46</f>
        <v>Reuben St. Louis</v>
      </c>
      <c r="W23" s="1">
        <f>25+1</f>
        <v>26</v>
      </c>
      <c r="X23" s="186" t="s">
        <v>228</v>
      </c>
    </row>
    <row r="24" spans="1:25" s="423" customFormat="1" ht="15.75" customHeight="1">
      <c r="A24" s="426">
        <v>7</v>
      </c>
      <c r="B24" s="431" t="s">
        <v>352</v>
      </c>
      <c r="C24" s="431">
        <v>34</v>
      </c>
      <c r="D24" s="431">
        <v>33</v>
      </c>
      <c r="E24" s="432" t="s">
        <v>353</v>
      </c>
      <c r="F24" s="432">
        <v>23</v>
      </c>
      <c r="G24" s="432">
        <v>18</v>
      </c>
      <c r="H24" s="433" t="s">
        <v>354</v>
      </c>
      <c r="I24" s="433">
        <v>19</v>
      </c>
      <c r="J24" s="433">
        <v>11</v>
      </c>
      <c r="K24"/>
      <c r="L24"/>
      <c r="M24"/>
      <c r="N24"/>
      <c r="O24"/>
      <c r="P24"/>
      <c r="Q24"/>
      <c r="S24" s="143" t="s">
        <v>47</v>
      </c>
      <c r="T24" s="1">
        <v>24</v>
      </c>
      <c r="U24"/>
      <c r="V24" s="143" t="str">
        <f>H48</f>
        <v>Amy Hopper</v>
      </c>
      <c r="W24" s="1">
        <v>24</v>
      </c>
      <c r="X24"/>
    </row>
    <row r="25" spans="1:25" s="423" customFormat="1" ht="15.75" customHeight="1">
      <c r="A25" s="426">
        <v>8</v>
      </c>
      <c r="B25" s="431" t="s">
        <v>238</v>
      </c>
      <c r="C25" s="431">
        <v>33</v>
      </c>
      <c r="D25" s="431">
        <v>30</v>
      </c>
      <c r="E25" s="432" t="s">
        <v>355</v>
      </c>
      <c r="F25" s="432">
        <v>20</v>
      </c>
      <c r="G25" s="432">
        <v>27</v>
      </c>
      <c r="H25" s="433" t="s">
        <v>300</v>
      </c>
      <c r="I25" s="433">
        <v>14</v>
      </c>
      <c r="J25" s="433">
        <v>16</v>
      </c>
      <c r="K25"/>
      <c r="L25"/>
      <c r="M25"/>
      <c r="N25"/>
      <c r="O25"/>
      <c r="P25"/>
      <c r="Q25"/>
      <c r="S25" s="143" t="s">
        <v>217</v>
      </c>
      <c r="T25" s="1">
        <v>23</v>
      </c>
      <c r="U25" s="160"/>
      <c r="V25" s="143" t="str">
        <f t="shared" ref="V25:V30" si="2">H49</f>
        <v>Terry Johnson</v>
      </c>
      <c r="W25" s="1">
        <v>23</v>
      </c>
      <c r="X25" s="160"/>
    </row>
    <row r="26" spans="1:25" s="423" customFormat="1" ht="15.75" customHeight="1">
      <c r="A26" s="426">
        <v>9</v>
      </c>
      <c r="B26" s="431" t="s">
        <v>357</v>
      </c>
      <c r="C26" s="431">
        <v>30</v>
      </c>
      <c r="D26" s="431">
        <v>27</v>
      </c>
      <c r="E26" s="432" t="s">
        <v>358</v>
      </c>
      <c r="F26" s="432">
        <v>9</v>
      </c>
      <c r="G26" s="432">
        <v>9</v>
      </c>
      <c r="H26" s="433" t="s">
        <v>359</v>
      </c>
      <c r="I26" s="433">
        <v>8</v>
      </c>
      <c r="J26" s="433">
        <v>9</v>
      </c>
      <c r="K26"/>
      <c r="L26"/>
      <c r="M26"/>
      <c r="N26"/>
      <c r="O26"/>
      <c r="P26"/>
      <c r="Q26"/>
      <c r="S26" s="143" t="s">
        <v>221</v>
      </c>
      <c r="T26" s="1">
        <v>22</v>
      </c>
      <c r="U26"/>
      <c r="V26" s="143" t="str">
        <f t="shared" si="2"/>
        <v>Bruno Richter</v>
      </c>
      <c r="W26" s="1">
        <v>22</v>
      </c>
      <c r="X26"/>
    </row>
    <row r="27" spans="1:25" s="423" customFormat="1" ht="15.75" customHeight="1">
      <c r="A27" s="426">
        <v>10</v>
      </c>
      <c r="B27" s="431" t="s">
        <v>361</v>
      </c>
      <c r="C27" s="431">
        <v>11</v>
      </c>
      <c r="D27" s="431">
        <v>11</v>
      </c>
      <c r="E27" s="432"/>
      <c r="F27" s="432"/>
      <c r="G27" s="432"/>
      <c r="H27" s="433"/>
      <c r="I27" s="433"/>
      <c r="J27" s="433"/>
      <c r="K27"/>
      <c r="L27"/>
      <c r="M27"/>
      <c r="N27"/>
      <c r="O27"/>
      <c r="P27"/>
      <c r="Q27"/>
      <c r="S27" s="143" t="s">
        <v>322</v>
      </c>
      <c r="T27" s="1">
        <v>21</v>
      </c>
      <c r="U27"/>
      <c r="V27" s="143" t="str">
        <f t="shared" si="2"/>
        <v>Ken Roth</v>
      </c>
      <c r="W27" s="1">
        <v>21</v>
      </c>
      <c r="X27"/>
    </row>
    <row r="28" spans="1:25" s="423" customFormat="1" ht="15.75" customHeight="1">
      <c r="A28" s="426">
        <v>11</v>
      </c>
      <c r="B28" s="431"/>
      <c r="C28" s="431"/>
      <c r="D28" s="431"/>
      <c r="E28" s="432"/>
      <c r="F28" s="432"/>
      <c r="G28" s="432"/>
      <c r="H28" s="437"/>
      <c r="I28" s="437"/>
      <c r="J28" s="437"/>
      <c r="S28" s="143" t="s">
        <v>323</v>
      </c>
      <c r="T28" s="1">
        <f>20+2</f>
        <v>22</v>
      </c>
      <c r="U28" s="186" t="s">
        <v>227</v>
      </c>
      <c r="V28" s="143" t="str">
        <f t="shared" si="2"/>
        <v>Bill Simit</v>
      </c>
      <c r="W28" s="1">
        <f>20+2</f>
        <v>22</v>
      </c>
      <c r="X28" s="160"/>
    </row>
    <row r="29" spans="1:25">
      <c r="R29" s="423"/>
      <c r="S29" s="143" t="s">
        <v>38</v>
      </c>
      <c r="T29" s="1">
        <f>20+1</f>
        <v>21</v>
      </c>
      <c r="U29" s="186" t="s">
        <v>228</v>
      </c>
      <c r="V29" s="143" t="str">
        <f t="shared" si="2"/>
        <v>Alex Beaton</v>
      </c>
      <c r="W29" s="1">
        <f>20+1</f>
        <v>21</v>
      </c>
      <c r="X29" s="160"/>
      <c r="Y29" s="423"/>
    </row>
    <row r="30" spans="1:25">
      <c r="A30" t="s">
        <v>364</v>
      </c>
      <c r="R30" s="423"/>
      <c r="S30" s="143" t="s">
        <v>8</v>
      </c>
      <c r="T30" s="1">
        <v>20</v>
      </c>
      <c r="V30" s="143" t="str">
        <f t="shared" si="2"/>
        <v>Ben St. Louis</v>
      </c>
      <c r="W30" s="1">
        <v>20</v>
      </c>
      <c r="Y30" s="423"/>
    </row>
    <row r="31" spans="1:25">
      <c r="B31" s="438" t="s">
        <v>277</v>
      </c>
      <c r="C31" s="439"/>
      <c r="D31" s="439"/>
      <c r="E31" s="439"/>
      <c r="F31" s="439"/>
      <c r="G31" s="439"/>
      <c r="H31" s="439"/>
      <c r="I31" s="439"/>
      <c r="J31" s="439"/>
      <c r="K31" s="439"/>
      <c r="L31" s="439"/>
      <c r="M31" s="439"/>
      <c r="N31" s="439"/>
      <c r="O31" s="439"/>
      <c r="P31" s="439"/>
      <c r="R31" s="423"/>
      <c r="S31" s="143" t="s">
        <v>125</v>
      </c>
      <c r="T31" s="1">
        <v>20</v>
      </c>
      <c r="V31" s="165"/>
      <c r="W31" s="165"/>
      <c r="X31" s="165"/>
    </row>
    <row r="32" spans="1:25">
      <c r="B32" s="438" t="s">
        <v>100</v>
      </c>
      <c r="C32" s="438" t="s">
        <v>362</v>
      </c>
      <c r="D32" s="438" t="s">
        <v>1</v>
      </c>
      <c r="E32" s="438" t="s">
        <v>111</v>
      </c>
      <c r="F32" s="438" t="s">
        <v>316</v>
      </c>
      <c r="G32" s="438" t="s">
        <v>1</v>
      </c>
      <c r="H32" s="438" t="s">
        <v>214</v>
      </c>
      <c r="I32" s="438" t="s">
        <v>316</v>
      </c>
      <c r="J32" s="438" t="s">
        <v>1</v>
      </c>
      <c r="K32" s="438" t="s">
        <v>220</v>
      </c>
      <c r="L32" s="438" t="s">
        <v>316</v>
      </c>
      <c r="M32" s="438" t="s">
        <v>1</v>
      </c>
      <c r="N32" s="438" t="s">
        <v>239</v>
      </c>
      <c r="O32" s="438" t="s">
        <v>316</v>
      </c>
      <c r="P32" s="438" t="s">
        <v>1</v>
      </c>
      <c r="R32" s="423"/>
      <c r="S32" s="143" t="s">
        <v>326</v>
      </c>
      <c r="T32" s="1">
        <v>20</v>
      </c>
      <c r="V32" s="165"/>
      <c r="W32" s="165"/>
      <c r="X32" s="165"/>
    </row>
    <row r="33" spans="2:24">
      <c r="B33" s="440" t="s">
        <v>4</v>
      </c>
      <c r="C33" s="441">
        <v>39</v>
      </c>
      <c r="D33" s="441">
        <v>57</v>
      </c>
      <c r="E33" s="440" t="s">
        <v>6</v>
      </c>
      <c r="F33" s="441">
        <v>43</v>
      </c>
      <c r="G33" s="441">
        <v>67</v>
      </c>
      <c r="H33" s="440" t="s">
        <v>279</v>
      </c>
      <c r="I33" s="441">
        <v>40</v>
      </c>
      <c r="J33" s="441">
        <v>67</v>
      </c>
      <c r="K33" s="440" t="s">
        <v>38</v>
      </c>
      <c r="L33" s="441">
        <v>38</v>
      </c>
      <c r="M33" s="441">
        <v>33</v>
      </c>
      <c r="N33" s="440" t="s">
        <v>40</v>
      </c>
      <c r="O33" s="441">
        <v>42</v>
      </c>
      <c r="P33" s="441">
        <v>55</v>
      </c>
      <c r="R33" s="423"/>
      <c r="S33" s="143" t="s">
        <v>43</v>
      </c>
      <c r="T33" s="1">
        <v>20</v>
      </c>
      <c r="V33" s="165"/>
      <c r="W33" s="165"/>
      <c r="X33" s="165"/>
    </row>
    <row r="34" spans="2:24">
      <c r="B34" s="440" t="s">
        <v>34</v>
      </c>
      <c r="C34" s="441">
        <v>38</v>
      </c>
      <c r="D34" s="441">
        <v>70</v>
      </c>
      <c r="E34" s="440" t="s">
        <v>42</v>
      </c>
      <c r="F34" s="441">
        <v>37</v>
      </c>
      <c r="G34" s="441">
        <v>57</v>
      </c>
      <c r="H34" s="440" t="s">
        <v>105</v>
      </c>
      <c r="I34" s="441">
        <v>38</v>
      </c>
      <c r="J34" s="441">
        <v>43</v>
      </c>
      <c r="K34" s="441" t="s">
        <v>323</v>
      </c>
      <c r="L34" s="441">
        <v>34</v>
      </c>
      <c r="M34" s="441">
        <v>40</v>
      </c>
      <c r="N34" s="440" t="s">
        <v>121</v>
      </c>
      <c r="O34" s="441">
        <v>33</v>
      </c>
      <c r="P34" s="441">
        <v>36</v>
      </c>
      <c r="R34" s="423"/>
      <c r="S34" s="143" t="s">
        <v>324</v>
      </c>
      <c r="T34" s="1">
        <v>20</v>
      </c>
      <c r="V34" s="165"/>
      <c r="W34" s="165"/>
      <c r="X34" s="165"/>
    </row>
    <row r="35" spans="2:24">
      <c r="B35" s="440" t="s">
        <v>36</v>
      </c>
      <c r="C35" s="441">
        <v>31</v>
      </c>
      <c r="D35" s="441">
        <v>66</v>
      </c>
      <c r="E35" s="440" t="s">
        <v>16</v>
      </c>
      <c r="F35" s="441">
        <v>31</v>
      </c>
      <c r="G35" s="441">
        <v>48</v>
      </c>
      <c r="H35" s="440" t="s">
        <v>50</v>
      </c>
      <c r="I35" s="441">
        <v>37</v>
      </c>
      <c r="J35" s="441">
        <v>62</v>
      </c>
      <c r="K35" s="441" t="s">
        <v>8</v>
      </c>
      <c r="L35" s="441">
        <v>34</v>
      </c>
      <c r="M35" s="441">
        <v>35</v>
      </c>
      <c r="N35" s="440" t="s">
        <v>330</v>
      </c>
      <c r="O35" s="441">
        <v>31</v>
      </c>
      <c r="P35" s="441">
        <v>34</v>
      </c>
      <c r="R35" s="423"/>
      <c r="S35" s="143" t="s">
        <v>208</v>
      </c>
      <c r="T35" s="1">
        <f>20+2</f>
        <v>22</v>
      </c>
      <c r="U35" s="186" t="s">
        <v>227</v>
      </c>
      <c r="V35" s="165"/>
      <c r="W35" s="165"/>
      <c r="X35" s="165"/>
    </row>
    <row r="36" spans="2:24">
      <c r="B36" s="440" t="s">
        <v>37</v>
      </c>
      <c r="C36" s="441">
        <v>27</v>
      </c>
      <c r="D36" s="441">
        <v>47</v>
      </c>
      <c r="E36" s="440" t="s">
        <v>35</v>
      </c>
      <c r="F36" s="441">
        <v>27</v>
      </c>
      <c r="G36" s="441">
        <v>46</v>
      </c>
      <c r="H36" s="440" t="s">
        <v>3</v>
      </c>
      <c r="I36" s="441">
        <v>36</v>
      </c>
      <c r="J36" s="441">
        <v>65</v>
      </c>
      <c r="K36" s="440" t="s">
        <v>125</v>
      </c>
      <c r="L36" s="441">
        <v>28</v>
      </c>
      <c r="M36" s="441">
        <v>31</v>
      </c>
      <c r="N36" s="440" t="s">
        <v>327</v>
      </c>
      <c r="O36" s="441">
        <v>28</v>
      </c>
      <c r="P36" s="441">
        <v>40</v>
      </c>
      <c r="R36" s="423"/>
      <c r="S36" s="143" t="s">
        <v>121</v>
      </c>
      <c r="T36" s="1">
        <f>20+1</f>
        <v>21</v>
      </c>
      <c r="U36" s="186" t="s">
        <v>228</v>
      </c>
      <c r="V36" s="165"/>
      <c r="W36" s="165"/>
      <c r="X36" s="165"/>
    </row>
    <row r="37" spans="2:24">
      <c r="B37" s="440" t="s">
        <v>2</v>
      </c>
      <c r="C37" s="441">
        <v>26</v>
      </c>
      <c r="D37" s="441">
        <v>47</v>
      </c>
      <c r="E37" s="440" t="s">
        <v>321</v>
      </c>
      <c r="F37" s="441">
        <v>26</v>
      </c>
      <c r="G37" s="441">
        <v>56</v>
      </c>
      <c r="H37" s="440" t="s">
        <v>254</v>
      </c>
      <c r="I37" s="441">
        <v>36</v>
      </c>
      <c r="J37" s="441">
        <v>68</v>
      </c>
      <c r="K37" s="440" t="s">
        <v>326</v>
      </c>
      <c r="L37" s="441">
        <v>28</v>
      </c>
      <c r="M37" s="441">
        <v>28</v>
      </c>
      <c r="N37" s="441" t="s">
        <v>54</v>
      </c>
      <c r="O37" s="441">
        <v>28</v>
      </c>
      <c r="P37" s="441">
        <v>30</v>
      </c>
      <c r="R37" s="423"/>
      <c r="S37" s="143" t="s">
        <v>40</v>
      </c>
      <c r="T37" s="1">
        <v>20</v>
      </c>
      <c r="V37" s="165"/>
      <c r="W37" s="165"/>
      <c r="X37" s="165"/>
    </row>
    <row r="38" spans="2:24">
      <c r="B38" s="440" t="s">
        <v>280</v>
      </c>
      <c r="C38" s="441">
        <v>24</v>
      </c>
      <c r="D38" s="441">
        <v>50</v>
      </c>
      <c r="E38" s="440" t="s">
        <v>278</v>
      </c>
      <c r="F38" s="441">
        <v>22</v>
      </c>
      <c r="G38" s="441">
        <v>45</v>
      </c>
      <c r="H38" s="440" t="s">
        <v>47</v>
      </c>
      <c r="I38" s="441">
        <v>33</v>
      </c>
      <c r="J38" s="441">
        <v>43</v>
      </c>
      <c r="K38" s="440" t="s">
        <v>43</v>
      </c>
      <c r="L38" s="441">
        <v>24</v>
      </c>
      <c r="M38" s="441">
        <v>41</v>
      </c>
      <c r="N38" s="440" t="s">
        <v>329</v>
      </c>
      <c r="O38" s="441">
        <v>23</v>
      </c>
      <c r="P38" s="441">
        <v>22</v>
      </c>
      <c r="R38" s="423"/>
      <c r="S38" s="143" t="s">
        <v>330</v>
      </c>
      <c r="T38" s="1">
        <v>20</v>
      </c>
      <c r="V38" s="165"/>
      <c r="W38" s="165"/>
      <c r="X38" s="165"/>
    </row>
    <row r="39" spans="2:24">
      <c r="B39" s="440" t="s">
        <v>320</v>
      </c>
      <c r="C39" s="441">
        <v>23</v>
      </c>
      <c r="D39" s="441">
        <v>51</v>
      </c>
      <c r="E39" s="440" t="s">
        <v>30</v>
      </c>
      <c r="F39" s="441">
        <v>20</v>
      </c>
      <c r="G39" s="441">
        <v>52</v>
      </c>
      <c r="H39" s="440" t="s">
        <v>217</v>
      </c>
      <c r="I39" s="441">
        <v>31</v>
      </c>
      <c r="J39" s="441">
        <v>42</v>
      </c>
      <c r="K39" s="440" t="s">
        <v>324</v>
      </c>
      <c r="L39" s="441">
        <v>21</v>
      </c>
      <c r="M39" s="441">
        <v>33</v>
      </c>
      <c r="N39" s="440" t="s">
        <v>328</v>
      </c>
      <c r="O39" s="441">
        <v>21</v>
      </c>
      <c r="P39" s="441">
        <v>34</v>
      </c>
      <c r="R39" s="423"/>
      <c r="S39" s="143" t="s">
        <v>327</v>
      </c>
      <c r="T39" s="1">
        <v>20</v>
      </c>
      <c r="V39" s="165"/>
      <c r="W39" s="165"/>
      <c r="X39" s="165"/>
    </row>
    <row r="40" spans="2:24">
      <c r="B40" s="440" t="s">
        <v>46</v>
      </c>
      <c r="C40" s="441">
        <v>16</v>
      </c>
      <c r="D40" s="441">
        <v>59</v>
      </c>
      <c r="E40" s="440" t="s">
        <v>155</v>
      </c>
      <c r="F40" s="441">
        <v>18</v>
      </c>
      <c r="G40" s="441">
        <v>37</v>
      </c>
      <c r="H40" s="440" t="s">
        <v>221</v>
      </c>
      <c r="I40" s="441">
        <v>21</v>
      </c>
      <c r="J40" s="441">
        <v>48</v>
      </c>
      <c r="K40" s="440" t="s">
        <v>208</v>
      </c>
      <c r="L40" s="441">
        <v>17</v>
      </c>
      <c r="M40" s="441">
        <v>16</v>
      </c>
      <c r="N40" s="440" t="s">
        <v>325</v>
      </c>
      <c r="O40" s="441">
        <v>18</v>
      </c>
      <c r="P40" s="441">
        <v>26</v>
      </c>
      <c r="R40" s="423"/>
      <c r="S40" s="143" t="s">
        <v>54</v>
      </c>
      <c r="T40" s="1">
        <v>20</v>
      </c>
      <c r="V40" s="165"/>
      <c r="W40" s="165"/>
      <c r="X40" s="165"/>
    </row>
    <row r="41" spans="2:24">
      <c r="B41" s="440"/>
      <c r="C41" s="440"/>
      <c r="D41" s="440"/>
      <c r="E41" s="440"/>
      <c r="F41" s="440"/>
      <c r="G41" s="440"/>
      <c r="H41" s="440" t="s">
        <v>322</v>
      </c>
      <c r="I41" s="441">
        <v>16</v>
      </c>
      <c r="J41" s="441">
        <v>37</v>
      </c>
      <c r="K41" s="440"/>
      <c r="L41" s="440"/>
      <c r="M41" s="440"/>
      <c r="N41" s="440">
        <v>0</v>
      </c>
      <c r="O41" s="440"/>
      <c r="P41" s="440"/>
      <c r="R41" s="423"/>
      <c r="S41" s="143" t="s">
        <v>329</v>
      </c>
      <c r="T41" s="1">
        <v>20</v>
      </c>
      <c r="V41" s="165"/>
      <c r="W41" s="165"/>
      <c r="X41" s="165"/>
    </row>
    <row r="42" spans="2:24">
      <c r="B42" s="423"/>
      <c r="C42" s="423"/>
      <c r="D42" s="423"/>
      <c r="E42" s="423"/>
      <c r="F42" s="423"/>
      <c r="G42" s="423"/>
      <c r="H42" s="423"/>
      <c r="I42" s="423"/>
      <c r="J42" s="423"/>
      <c r="K42" s="423"/>
      <c r="L42" s="423"/>
      <c r="M42" s="423"/>
      <c r="N42" s="423"/>
      <c r="O42" s="423"/>
      <c r="P42" s="423"/>
      <c r="R42" s="423"/>
      <c r="S42" s="143" t="s">
        <v>328</v>
      </c>
      <c r="T42" s="1">
        <v>20</v>
      </c>
      <c r="V42" s="165"/>
      <c r="W42" s="165"/>
      <c r="X42" s="165"/>
    </row>
    <row r="43" spans="2:24">
      <c r="B43" s="423"/>
      <c r="C43" s="423"/>
      <c r="D43" s="423"/>
      <c r="E43" s="423"/>
      <c r="F43" s="423"/>
      <c r="G43" s="423"/>
      <c r="H43" s="423"/>
      <c r="I43" s="423"/>
      <c r="J43" s="423"/>
      <c r="K43" s="423"/>
      <c r="L43" s="423"/>
      <c r="M43" s="423"/>
      <c r="N43" s="423"/>
      <c r="O43" s="423"/>
      <c r="P43" s="423"/>
      <c r="R43" s="423"/>
      <c r="S43" s="143" t="s">
        <v>325</v>
      </c>
      <c r="T43" s="1">
        <v>20</v>
      </c>
      <c r="U43" s="165"/>
      <c r="V43" s="165"/>
      <c r="W43" s="165"/>
      <c r="X43" s="165"/>
    </row>
    <row r="44" spans="2:24">
      <c r="B44" s="424" t="s">
        <v>284</v>
      </c>
      <c r="C44" s="423"/>
      <c r="D44" s="423"/>
      <c r="E44" s="423"/>
      <c r="F44" s="423"/>
      <c r="G44" s="423"/>
      <c r="H44" s="423"/>
      <c r="I44" s="423"/>
      <c r="J44" s="423"/>
      <c r="K44" s="423"/>
      <c r="L44" s="423"/>
      <c r="M44" s="423"/>
      <c r="N44" s="424" t="s">
        <v>331</v>
      </c>
      <c r="O44" s="423"/>
      <c r="P44" s="423"/>
      <c r="R44" s="165"/>
      <c r="S44" s="165"/>
      <c r="T44" s="165"/>
      <c r="U44" s="165"/>
      <c r="V44" s="165"/>
      <c r="W44" s="165"/>
      <c r="X44" s="165"/>
    </row>
    <row r="45" spans="2:24">
      <c r="B45" s="424" t="s">
        <v>211</v>
      </c>
      <c r="C45" s="424" t="s">
        <v>362</v>
      </c>
      <c r="D45" s="424" t="s">
        <v>1</v>
      </c>
      <c r="E45" s="424" t="s">
        <v>214</v>
      </c>
      <c r="F45" s="424" t="s">
        <v>316</v>
      </c>
      <c r="G45" s="424" t="s">
        <v>1</v>
      </c>
      <c r="H45" s="424" t="s">
        <v>220</v>
      </c>
      <c r="I45" s="424" t="s">
        <v>316</v>
      </c>
      <c r="J45" s="424" t="s">
        <v>1</v>
      </c>
      <c r="K45" s="424" t="s">
        <v>239</v>
      </c>
      <c r="L45" s="424" t="s">
        <v>316</v>
      </c>
      <c r="M45" s="424" t="s">
        <v>1</v>
      </c>
      <c r="N45" s="424" t="s">
        <v>211</v>
      </c>
      <c r="O45" s="424" t="s">
        <v>362</v>
      </c>
      <c r="P45" s="424" t="s">
        <v>1</v>
      </c>
      <c r="R45" s="165"/>
      <c r="S45" s="165"/>
      <c r="T45" s="165"/>
      <c r="U45" s="165"/>
      <c r="V45" s="165"/>
      <c r="W45" s="165"/>
      <c r="X45" s="165"/>
    </row>
    <row r="46" spans="2:24">
      <c r="B46" s="436" t="s">
        <v>333</v>
      </c>
      <c r="C46" s="426">
        <v>47</v>
      </c>
      <c r="D46" s="426">
        <v>49</v>
      </c>
      <c r="E46" s="436" t="s">
        <v>136</v>
      </c>
      <c r="F46" s="426">
        <v>43</v>
      </c>
      <c r="G46" s="426">
        <v>24</v>
      </c>
      <c r="H46" s="436" t="s">
        <v>353</v>
      </c>
      <c r="I46" s="426">
        <v>42</v>
      </c>
      <c r="J46" s="426">
        <v>17</v>
      </c>
      <c r="K46" s="423"/>
      <c r="L46" s="423"/>
      <c r="M46" s="423"/>
      <c r="N46" s="436" t="s">
        <v>351</v>
      </c>
      <c r="O46" s="426">
        <v>50</v>
      </c>
      <c r="P46" s="426">
        <v>81</v>
      </c>
      <c r="R46" s="165"/>
      <c r="S46" s="165"/>
      <c r="T46" s="165"/>
      <c r="U46" s="165"/>
      <c r="V46" s="165"/>
      <c r="W46" s="165"/>
      <c r="X46" s="165"/>
    </row>
    <row r="47" spans="2:24">
      <c r="B47" s="436" t="s">
        <v>32</v>
      </c>
      <c r="C47" s="426">
        <v>45</v>
      </c>
      <c r="D47" s="426">
        <v>40</v>
      </c>
      <c r="E47" s="436" t="s">
        <v>342</v>
      </c>
      <c r="F47" s="426">
        <v>42</v>
      </c>
      <c r="G47" s="426">
        <v>37</v>
      </c>
      <c r="H47" s="436" t="s">
        <v>349</v>
      </c>
      <c r="I47" s="426">
        <v>38</v>
      </c>
      <c r="J47" s="426">
        <v>28</v>
      </c>
      <c r="K47" s="423"/>
      <c r="L47" s="423"/>
      <c r="M47" s="423"/>
      <c r="N47" s="436" t="s">
        <v>103</v>
      </c>
      <c r="O47" s="426">
        <v>46</v>
      </c>
      <c r="P47" s="426">
        <v>103</v>
      </c>
      <c r="S47" s="165"/>
      <c r="T47" s="422"/>
      <c r="U47" s="165"/>
      <c r="V47" s="165"/>
      <c r="W47" s="422"/>
      <c r="X47" s="165"/>
    </row>
    <row r="48" spans="2:24">
      <c r="B48" s="436" t="s">
        <v>338</v>
      </c>
      <c r="C48" s="426">
        <v>43</v>
      </c>
      <c r="D48" s="426">
        <v>25</v>
      </c>
      <c r="E48" s="436" t="s">
        <v>352</v>
      </c>
      <c r="F48" s="426">
        <v>36</v>
      </c>
      <c r="G48" s="426">
        <v>26</v>
      </c>
      <c r="H48" s="436" t="s">
        <v>359</v>
      </c>
      <c r="I48" s="426">
        <v>36</v>
      </c>
      <c r="J48" s="426">
        <v>15</v>
      </c>
      <c r="K48" s="423"/>
      <c r="L48" s="423"/>
      <c r="M48" s="423"/>
      <c r="N48" s="436" t="s">
        <v>336</v>
      </c>
      <c r="O48" s="426">
        <v>45</v>
      </c>
      <c r="P48" s="423"/>
      <c r="S48" s="165"/>
      <c r="T48" s="422"/>
      <c r="U48" s="165"/>
      <c r="V48" s="165"/>
      <c r="W48" s="422"/>
      <c r="X48" s="165"/>
    </row>
    <row r="49" spans="2:24">
      <c r="B49" s="436" t="s">
        <v>124</v>
      </c>
      <c r="C49" s="426">
        <v>42</v>
      </c>
      <c r="D49" s="426">
        <v>39</v>
      </c>
      <c r="E49" s="436" t="s">
        <v>48</v>
      </c>
      <c r="F49" s="426">
        <v>35</v>
      </c>
      <c r="G49" s="426">
        <v>24</v>
      </c>
      <c r="H49" s="436" t="s">
        <v>300</v>
      </c>
      <c r="I49" s="426">
        <v>34</v>
      </c>
      <c r="J49" s="426">
        <v>23</v>
      </c>
      <c r="K49" s="423"/>
      <c r="L49" s="423"/>
      <c r="M49" s="423"/>
      <c r="N49" s="436" t="s">
        <v>341</v>
      </c>
      <c r="O49" s="426">
        <v>42</v>
      </c>
      <c r="P49" s="426">
        <v>104</v>
      </c>
      <c r="S49" s="165"/>
      <c r="T49" s="422"/>
      <c r="U49" s="165"/>
      <c r="V49" s="165"/>
      <c r="W49" s="422"/>
      <c r="X49" s="165"/>
    </row>
    <row r="50" spans="2:24">
      <c r="B50" s="436" t="s">
        <v>334</v>
      </c>
      <c r="C50" s="426">
        <v>39</v>
      </c>
      <c r="D50" s="426">
        <v>34</v>
      </c>
      <c r="E50" s="436" t="s">
        <v>343</v>
      </c>
      <c r="F50" s="426">
        <v>29</v>
      </c>
      <c r="G50" s="426">
        <v>26</v>
      </c>
      <c r="H50" s="436" t="s">
        <v>357</v>
      </c>
      <c r="I50" s="426">
        <v>32</v>
      </c>
      <c r="J50" s="426">
        <v>22</v>
      </c>
      <c r="K50" s="423"/>
      <c r="L50" s="423"/>
      <c r="M50" s="423"/>
      <c r="N50" s="436" t="s">
        <v>360</v>
      </c>
      <c r="O50" s="426">
        <v>42</v>
      </c>
      <c r="P50" s="426">
        <v>90</v>
      </c>
      <c r="S50" s="165"/>
      <c r="T50" s="422"/>
      <c r="U50" s="165"/>
      <c r="V50" s="165"/>
      <c r="W50" s="422"/>
      <c r="X50" s="165"/>
    </row>
    <row r="51" spans="2:24">
      <c r="B51" s="436" t="s">
        <v>340</v>
      </c>
      <c r="C51" s="426">
        <v>33</v>
      </c>
      <c r="D51" s="426">
        <v>42</v>
      </c>
      <c r="E51" s="436" t="s">
        <v>350</v>
      </c>
      <c r="F51" s="426">
        <v>28</v>
      </c>
      <c r="G51" s="426">
        <v>23</v>
      </c>
      <c r="H51" s="436" t="s">
        <v>361</v>
      </c>
      <c r="I51" s="426">
        <v>32</v>
      </c>
      <c r="J51" s="426">
        <v>17</v>
      </c>
      <c r="K51" s="423"/>
      <c r="L51" s="423"/>
      <c r="M51" s="423"/>
      <c r="N51" s="436" t="s">
        <v>345</v>
      </c>
      <c r="O51" s="426">
        <v>39</v>
      </c>
      <c r="P51" s="426">
        <v>70</v>
      </c>
      <c r="S51" s="165"/>
      <c r="T51" s="422"/>
      <c r="U51" s="165"/>
      <c r="V51" s="165"/>
      <c r="W51" s="422"/>
      <c r="X51" s="165"/>
    </row>
    <row r="52" spans="2:24">
      <c r="B52" s="436" t="s">
        <v>123</v>
      </c>
      <c r="C52" s="426">
        <v>33</v>
      </c>
      <c r="D52" s="426">
        <v>42</v>
      </c>
      <c r="E52" s="436" t="s">
        <v>346</v>
      </c>
      <c r="F52" s="426">
        <v>27</v>
      </c>
      <c r="G52" s="426">
        <v>28</v>
      </c>
      <c r="H52" s="436" t="s">
        <v>355</v>
      </c>
      <c r="I52" s="426">
        <v>31</v>
      </c>
      <c r="J52" s="426">
        <v>20</v>
      </c>
      <c r="K52" s="423"/>
      <c r="L52" s="423"/>
      <c r="M52" s="423"/>
      <c r="N52" s="436" t="s">
        <v>344</v>
      </c>
      <c r="O52" s="426">
        <v>30</v>
      </c>
      <c r="P52" s="423"/>
      <c r="S52" s="165"/>
      <c r="T52" s="422"/>
      <c r="U52" s="165"/>
      <c r="V52" s="165"/>
      <c r="W52" s="422"/>
      <c r="X52" s="165"/>
    </row>
    <row r="53" spans="2:24">
      <c r="B53" s="436" t="s">
        <v>332</v>
      </c>
      <c r="C53" s="426">
        <v>32</v>
      </c>
      <c r="D53" s="426">
        <v>35</v>
      </c>
      <c r="E53" s="436" t="s">
        <v>347</v>
      </c>
      <c r="F53" s="426">
        <v>24</v>
      </c>
      <c r="G53" s="426">
        <v>25</v>
      </c>
      <c r="H53" s="436" t="s">
        <v>354</v>
      </c>
      <c r="I53" s="426">
        <v>25</v>
      </c>
      <c r="J53" s="426">
        <v>12</v>
      </c>
      <c r="K53" s="423"/>
      <c r="L53" s="423"/>
      <c r="M53" s="423"/>
      <c r="N53" s="436" t="s">
        <v>356</v>
      </c>
      <c r="O53" s="426">
        <v>26</v>
      </c>
      <c r="P53" s="426">
        <v>75</v>
      </c>
    </row>
    <row r="54" spans="2:24">
      <c r="B54" s="436" t="s">
        <v>335</v>
      </c>
      <c r="C54" s="426">
        <v>25</v>
      </c>
      <c r="D54" s="426">
        <v>25</v>
      </c>
      <c r="E54" s="436" t="s">
        <v>238</v>
      </c>
      <c r="F54" s="426">
        <v>23</v>
      </c>
      <c r="G54" s="426">
        <v>21</v>
      </c>
      <c r="H54" s="436" t="s">
        <v>358</v>
      </c>
      <c r="I54" s="426">
        <v>18</v>
      </c>
      <c r="J54" s="426">
        <v>10</v>
      </c>
      <c r="K54" s="423"/>
      <c r="L54" s="423"/>
      <c r="M54" s="423"/>
      <c r="N54" s="436" t="s">
        <v>337</v>
      </c>
      <c r="O54" s="426">
        <v>22</v>
      </c>
      <c r="P54" s="426">
        <v>54</v>
      </c>
    </row>
    <row r="55" spans="2:24">
      <c r="B55" s="436" t="s">
        <v>339</v>
      </c>
      <c r="C55" s="426">
        <v>23</v>
      </c>
      <c r="D55" s="426">
        <v>17</v>
      </c>
      <c r="E55" s="423"/>
      <c r="F55" s="423"/>
      <c r="G55" s="423"/>
      <c r="H55" s="423"/>
      <c r="I55" s="423"/>
      <c r="J55" s="423"/>
      <c r="K55" s="423"/>
      <c r="L55" s="423"/>
      <c r="M55" s="423"/>
      <c r="N55" s="426" t="s">
        <v>348</v>
      </c>
      <c r="O55" s="426">
        <v>18</v>
      </c>
      <c r="P55" s="426">
        <v>60</v>
      </c>
    </row>
    <row r="58" spans="2:24">
      <c r="B58" s="426" t="s">
        <v>365</v>
      </c>
      <c r="C58" s="423"/>
      <c r="D58" s="423"/>
      <c r="E58" s="423"/>
      <c r="F58" s="423"/>
      <c r="G58" s="423"/>
      <c r="H58" s="423"/>
      <c r="I58" s="423"/>
      <c r="J58" s="423"/>
      <c r="K58" s="423"/>
      <c r="L58" s="423"/>
      <c r="M58" s="423"/>
      <c r="N58" s="423"/>
    </row>
    <row r="59" spans="2:24">
      <c r="B59" s="442"/>
      <c r="C59" s="443" t="s">
        <v>366</v>
      </c>
      <c r="D59" s="443"/>
      <c r="E59" s="443"/>
      <c r="F59" s="443"/>
      <c r="G59" s="442"/>
      <c r="H59" s="442"/>
      <c r="I59" s="443" t="s">
        <v>367</v>
      </c>
      <c r="J59" s="442"/>
      <c r="K59" s="442"/>
      <c r="L59" s="443" t="s">
        <v>368</v>
      </c>
      <c r="M59" s="442"/>
      <c r="N59" s="442"/>
    </row>
    <row r="60" spans="2:24">
      <c r="B60" s="442"/>
      <c r="C60" s="443" t="s">
        <v>369</v>
      </c>
      <c r="D60" s="443" t="s">
        <v>370</v>
      </c>
      <c r="E60" s="443" t="s">
        <v>371</v>
      </c>
      <c r="F60" s="443" t="s">
        <v>372</v>
      </c>
      <c r="G60" s="443" t="s">
        <v>370</v>
      </c>
      <c r="H60" s="443" t="s">
        <v>373</v>
      </c>
      <c r="I60" s="443" t="s">
        <v>374</v>
      </c>
      <c r="J60" s="443" t="s">
        <v>370</v>
      </c>
      <c r="K60" s="443" t="s">
        <v>375</v>
      </c>
      <c r="L60" s="443" t="s">
        <v>376</v>
      </c>
      <c r="M60" s="443" t="s">
        <v>370</v>
      </c>
      <c r="N60" s="443" t="s">
        <v>377</v>
      </c>
    </row>
    <row r="61" spans="2:24">
      <c r="B61" s="443" t="s">
        <v>230</v>
      </c>
      <c r="C61" s="442" t="s">
        <v>4</v>
      </c>
      <c r="D61" s="442"/>
      <c r="E61" s="442" t="s">
        <v>42</v>
      </c>
      <c r="F61" s="442" t="s">
        <v>6</v>
      </c>
      <c r="G61" s="442"/>
      <c r="H61" s="442" t="s">
        <v>34</v>
      </c>
      <c r="I61" s="443" t="s">
        <v>4</v>
      </c>
      <c r="J61" s="442"/>
      <c r="K61" s="443" t="s">
        <v>6</v>
      </c>
      <c r="L61" s="443" t="s">
        <v>34</v>
      </c>
      <c r="M61" s="442"/>
      <c r="N61" s="443" t="s">
        <v>42</v>
      </c>
    </row>
    <row r="62" spans="2:24">
      <c r="B62" s="443" t="s">
        <v>378</v>
      </c>
      <c r="C62" s="443">
        <v>3</v>
      </c>
      <c r="D62" s="442"/>
      <c r="E62" s="443">
        <v>9</v>
      </c>
      <c r="F62" s="443">
        <v>10</v>
      </c>
      <c r="G62" s="442"/>
      <c r="H62" s="443">
        <v>4</v>
      </c>
      <c r="I62" s="443">
        <v>2</v>
      </c>
      <c r="J62" s="442"/>
      <c r="K62" s="443">
        <v>10</v>
      </c>
      <c r="L62" s="443">
        <v>12</v>
      </c>
      <c r="M62" s="442"/>
      <c r="N62" s="443">
        <v>2</v>
      </c>
    </row>
    <row r="63" spans="2:24">
      <c r="B63" s="423"/>
      <c r="C63" s="423"/>
      <c r="D63" s="423"/>
      <c r="E63" s="423"/>
      <c r="F63" s="423"/>
      <c r="G63" s="423"/>
      <c r="H63" s="423"/>
      <c r="I63" s="423"/>
      <c r="J63" s="423"/>
      <c r="K63" s="423"/>
      <c r="L63" s="423"/>
      <c r="M63" s="423"/>
      <c r="N63" s="423"/>
    </row>
    <row r="64" spans="2:24">
      <c r="B64" s="423"/>
      <c r="C64" s="423"/>
      <c r="D64" s="423"/>
      <c r="E64" s="423"/>
      <c r="F64" s="423"/>
      <c r="G64" s="423"/>
      <c r="H64" s="423"/>
      <c r="I64" s="423"/>
      <c r="J64" s="423"/>
      <c r="K64" s="442"/>
      <c r="L64" s="443" t="s">
        <v>101</v>
      </c>
      <c r="M64" s="443" t="s">
        <v>370</v>
      </c>
      <c r="N64" s="443" t="s">
        <v>110</v>
      </c>
    </row>
    <row r="65" spans="2:14">
      <c r="B65" s="423"/>
      <c r="C65" s="423"/>
      <c r="D65" s="423"/>
      <c r="E65" s="423"/>
      <c r="F65" s="423"/>
      <c r="G65" s="423"/>
      <c r="H65" s="423"/>
      <c r="I65" s="423"/>
      <c r="J65" s="423"/>
      <c r="K65" s="443" t="s">
        <v>230</v>
      </c>
      <c r="L65" s="442" t="s">
        <v>105</v>
      </c>
      <c r="M65" s="442"/>
      <c r="N65" s="443">
        <v>9</v>
      </c>
    </row>
    <row r="66" spans="2:14">
      <c r="B66" s="423"/>
      <c r="C66" s="423"/>
      <c r="D66" s="423"/>
      <c r="E66" s="423"/>
      <c r="F66" s="423"/>
      <c r="G66" s="423"/>
      <c r="H66" s="423"/>
      <c r="I66" s="423"/>
      <c r="J66" s="423"/>
      <c r="K66" s="443" t="s">
        <v>378</v>
      </c>
      <c r="L66" s="442" t="s">
        <v>279</v>
      </c>
      <c r="M66" s="442"/>
      <c r="N66" s="443">
        <v>5</v>
      </c>
    </row>
    <row r="67" spans="2:14">
      <c r="B67" s="423"/>
      <c r="C67" s="423"/>
      <c r="D67" s="423"/>
      <c r="E67" s="423"/>
      <c r="F67" s="423"/>
      <c r="G67" s="423"/>
      <c r="H67" s="423"/>
      <c r="I67" s="423"/>
      <c r="J67" s="423"/>
      <c r="K67" s="423"/>
      <c r="L67" s="423"/>
      <c r="M67" s="423"/>
      <c r="N67" s="423"/>
    </row>
    <row r="68" spans="2:14">
      <c r="B68" s="423"/>
      <c r="C68" s="423"/>
      <c r="D68" s="423"/>
      <c r="E68" s="423"/>
      <c r="F68" s="423"/>
      <c r="G68" s="423"/>
      <c r="H68" s="423"/>
      <c r="I68" s="423"/>
      <c r="J68" s="423"/>
      <c r="K68" s="442"/>
      <c r="L68" s="443" t="s">
        <v>104</v>
      </c>
      <c r="M68" s="443" t="s">
        <v>370</v>
      </c>
      <c r="N68" s="443" t="s">
        <v>108</v>
      </c>
    </row>
    <row r="69" spans="2:14">
      <c r="B69" s="423"/>
      <c r="C69" s="423"/>
      <c r="D69" s="423"/>
      <c r="E69" s="423"/>
      <c r="F69" s="423"/>
      <c r="G69" s="423"/>
      <c r="H69" s="423"/>
      <c r="I69" s="423"/>
      <c r="J69" s="423"/>
      <c r="K69" s="443" t="s">
        <v>230</v>
      </c>
      <c r="L69" s="442" t="s">
        <v>38</v>
      </c>
      <c r="M69" s="442"/>
      <c r="N69" s="443">
        <v>6</v>
      </c>
    </row>
    <row r="70" spans="2:14">
      <c r="B70" s="423"/>
      <c r="C70" s="423"/>
      <c r="D70" s="423"/>
      <c r="E70" s="423"/>
      <c r="F70" s="423"/>
      <c r="G70" s="423"/>
      <c r="H70" s="423"/>
      <c r="I70" s="423"/>
      <c r="J70" s="423"/>
      <c r="K70" s="443" t="s">
        <v>378</v>
      </c>
      <c r="L70" s="442" t="s">
        <v>323</v>
      </c>
      <c r="M70" s="442"/>
      <c r="N70" s="443">
        <v>10</v>
      </c>
    </row>
    <row r="71" spans="2:14">
      <c r="B71" s="423"/>
      <c r="C71" s="423"/>
      <c r="D71" s="423"/>
      <c r="E71" s="423"/>
      <c r="F71" s="423"/>
      <c r="G71" s="423"/>
      <c r="H71" s="423"/>
      <c r="I71" s="423"/>
      <c r="J71" s="423"/>
      <c r="K71" s="423"/>
      <c r="L71" s="423"/>
      <c r="M71" s="423"/>
      <c r="N71" s="423"/>
    </row>
    <row r="72" spans="2:14">
      <c r="B72" s="423"/>
      <c r="C72" s="423"/>
      <c r="D72" s="423"/>
      <c r="E72" s="423"/>
      <c r="F72" s="423"/>
      <c r="G72" s="423"/>
      <c r="H72" s="423"/>
      <c r="I72" s="423"/>
      <c r="J72" s="423"/>
      <c r="K72" s="442"/>
      <c r="L72" s="443" t="s">
        <v>106</v>
      </c>
      <c r="M72" s="443" t="s">
        <v>370</v>
      </c>
      <c r="N72" s="443" t="s">
        <v>107</v>
      </c>
    </row>
    <row r="73" spans="2:14">
      <c r="B73" s="423"/>
      <c r="C73" s="423"/>
      <c r="D73" s="423"/>
      <c r="E73" s="423"/>
      <c r="F73" s="423"/>
      <c r="G73" s="423"/>
      <c r="H73" s="423"/>
      <c r="I73" s="423"/>
      <c r="J73" s="423"/>
      <c r="K73" s="443" t="s">
        <v>230</v>
      </c>
      <c r="L73" s="442" t="s">
        <v>40</v>
      </c>
      <c r="M73" s="442"/>
      <c r="N73" s="443">
        <v>8</v>
      </c>
    </row>
    <row r="74" spans="2:14">
      <c r="B74" s="423"/>
      <c r="C74" s="423"/>
      <c r="D74" s="423"/>
      <c r="E74" s="423"/>
      <c r="F74" s="423"/>
      <c r="G74" s="423"/>
      <c r="H74" s="423"/>
      <c r="I74" s="423"/>
      <c r="J74" s="423"/>
      <c r="K74" s="443" t="s">
        <v>378</v>
      </c>
      <c r="L74" s="442" t="s">
        <v>121</v>
      </c>
      <c r="M74" s="442"/>
      <c r="N74" s="443">
        <v>10</v>
      </c>
    </row>
    <row r="75" spans="2:14">
      <c r="B75" s="423"/>
      <c r="C75" s="423"/>
      <c r="D75" s="423"/>
      <c r="E75" s="423"/>
      <c r="F75" s="423"/>
      <c r="G75" s="423"/>
      <c r="H75" s="423"/>
      <c r="I75" s="423"/>
      <c r="J75" s="423"/>
      <c r="K75" s="423"/>
      <c r="L75" s="423"/>
      <c r="M75" s="423"/>
      <c r="N75" s="423"/>
    </row>
    <row r="76" spans="2:14">
      <c r="B76" s="426" t="s">
        <v>379</v>
      </c>
      <c r="C76" s="423"/>
      <c r="D76" s="423"/>
      <c r="E76" s="423"/>
      <c r="F76" s="423"/>
      <c r="G76" s="423"/>
      <c r="H76" s="423"/>
      <c r="I76" s="423"/>
      <c r="J76" s="423"/>
      <c r="K76" s="423"/>
      <c r="L76" s="423"/>
      <c r="M76" s="423"/>
      <c r="N76" s="423"/>
    </row>
    <row r="77" spans="2:14">
      <c r="B77" s="442"/>
      <c r="C77" s="443" t="s">
        <v>366</v>
      </c>
      <c r="D77" s="443"/>
      <c r="E77" s="443"/>
      <c r="F77" s="443"/>
      <c r="G77" s="442"/>
      <c r="H77" s="442"/>
      <c r="I77" s="443" t="s">
        <v>367</v>
      </c>
      <c r="J77" s="442"/>
      <c r="K77" s="442"/>
      <c r="L77" s="443" t="s">
        <v>368</v>
      </c>
      <c r="M77" s="442"/>
      <c r="N77" s="442"/>
    </row>
    <row r="78" spans="2:14">
      <c r="B78" s="442"/>
      <c r="C78" s="443" t="s">
        <v>100</v>
      </c>
      <c r="D78" s="443" t="s">
        <v>370</v>
      </c>
      <c r="E78" s="443" t="s">
        <v>119</v>
      </c>
      <c r="F78" s="443" t="s">
        <v>111</v>
      </c>
      <c r="G78" s="443" t="s">
        <v>370</v>
      </c>
      <c r="H78" s="443" t="s">
        <v>112</v>
      </c>
      <c r="I78" s="443" t="s">
        <v>374</v>
      </c>
      <c r="J78" s="443" t="s">
        <v>370</v>
      </c>
      <c r="K78" s="443" t="s">
        <v>375</v>
      </c>
      <c r="L78" s="443" t="s">
        <v>376</v>
      </c>
      <c r="M78" s="443" t="s">
        <v>370</v>
      </c>
      <c r="N78" s="443" t="s">
        <v>377</v>
      </c>
    </row>
    <row r="79" spans="2:14">
      <c r="B79" s="443" t="s">
        <v>230</v>
      </c>
      <c r="C79" s="442" t="s">
        <v>333</v>
      </c>
      <c r="D79" s="442"/>
      <c r="E79" s="442" t="s">
        <v>124</v>
      </c>
      <c r="F79" s="442" t="s">
        <v>32</v>
      </c>
      <c r="G79" s="442"/>
      <c r="H79" s="443" t="s">
        <v>338</v>
      </c>
      <c r="I79" s="443" t="s">
        <v>124</v>
      </c>
      <c r="J79" s="442"/>
      <c r="K79" s="443" t="s">
        <v>338</v>
      </c>
      <c r="L79" s="443" t="s">
        <v>380</v>
      </c>
      <c r="M79" s="442"/>
      <c r="N79" s="443" t="s">
        <v>333</v>
      </c>
    </row>
    <row r="80" spans="2:14">
      <c r="B80" s="443" t="s">
        <v>378</v>
      </c>
      <c r="C80" s="443">
        <v>10</v>
      </c>
      <c r="D80" s="442"/>
      <c r="E80" s="443">
        <v>8</v>
      </c>
      <c r="F80" s="443">
        <v>10</v>
      </c>
      <c r="G80" s="442"/>
      <c r="H80" s="443">
        <v>8</v>
      </c>
      <c r="I80" s="443">
        <v>10</v>
      </c>
      <c r="J80" s="442"/>
      <c r="K80" s="443">
        <v>4</v>
      </c>
      <c r="L80" s="443">
        <v>9</v>
      </c>
      <c r="M80" s="442"/>
      <c r="N80" s="443">
        <v>7</v>
      </c>
    </row>
    <row r="81" spans="2:14">
      <c r="B81" s="423"/>
      <c r="C81" s="423"/>
      <c r="D81" s="423"/>
      <c r="E81" s="423"/>
      <c r="F81" s="423"/>
      <c r="G81" s="423"/>
      <c r="H81" s="423"/>
      <c r="I81" s="423"/>
      <c r="J81" s="423"/>
      <c r="K81" s="423"/>
      <c r="L81" s="423"/>
      <c r="M81" s="423"/>
      <c r="N81" s="423"/>
    </row>
    <row r="82" spans="2:14">
      <c r="B82" s="423"/>
      <c r="C82" s="423"/>
      <c r="D82" s="423"/>
      <c r="E82" s="423"/>
      <c r="F82" s="423"/>
      <c r="G82" s="423"/>
      <c r="H82" s="423"/>
      <c r="I82" s="423"/>
      <c r="J82" s="423"/>
      <c r="K82" s="442"/>
      <c r="L82" s="443" t="s">
        <v>101</v>
      </c>
      <c r="M82" s="443" t="s">
        <v>370</v>
      </c>
      <c r="N82" s="443" t="s">
        <v>110</v>
      </c>
    </row>
    <row r="83" spans="2:14">
      <c r="B83" s="423"/>
      <c r="C83" s="423"/>
      <c r="D83" s="423"/>
      <c r="E83" s="423"/>
      <c r="F83" s="423"/>
      <c r="G83" s="423"/>
      <c r="H83" s="423"/>
      <c r="I83" s="423"/>
      <c r="J83" s="423"/>
      <c r="K83" s="443" t="s">
        <v>230</v>
      </c>
      <c r="L83" s="442" t="s">
        <v>136</v>
      </c>
      <c r="M83" s="442"/>
      <c r="N83" s="442" t="s">
        <v>342</v>
      </c>
    </row>
    <row r="84" spans="2:14">
      <c r="B84" s="423"/>
      <c r="C84" s="423"/>
      <c r="D84" s="423"/>
      <c r="E84" s="423"/>
      <c r="F84" s="423"/>
      <c r="G84" s="423"/>
      <c r="H84" s="423"/>
      <c r="I84" s="423"/>
      <c r="J84" s="423"/>
      <c r="K84" s="443" t="s">
        <v>378</v>
      </c>
      <c r="L84" s="443">
        <v>2</v>
      </c>
      <c r="M84" s="442"/>
      <c r="N84" s="443">
        <v>10</v>
      </c>
    </row>
    <row r="85" spans="2:14">
      <c r="B85" s="423"/>
      <c r="C85" s="423"/>
      <c r="D85" s="423"/>
      <c r="E85" s="423"/>
      <c r="F85" s="423"/>
      <c r="G85" s="423"/>
      <c r="H85" s="423"/>
      <c r="I85" s="423"/>
      <c r="J85" s="423"/>
      <c r="K85" s="423"/>
      <c r="L85" s="423"/>
      <c r="M85" s="423"/>
      <c r="N85" s="423"/>
    </row>
    <row r="86" spans="2:14">
      <c r="B86" s="423"/>
      <c r="C86" s="423"/>
      <c r="D86" s="423"/>
      <c r="E86" s="423"/>
      <c r="F86" s="423"/>
      <c r="G86" s="423"/>
      <c r="H86" s="423"/>
      <c r="I86" s="423"/>
      <c r="J86" s="423"/>
      <c r="K86" s="442"/>
      <c r="L86" s="443" t="s">
        <v>104</v>
      </c>
      <c r="M86" s="443" t="s">
        <v>370</v>
      </c>
      <c r="N86" s="443" t="s">
        <v>108</v>
      </c>
    </row>
    <row r="87" spans="2:14">
      <c r="B87" s="423"/>
      <c r="C87" s="423"/>
      <c r="D87" s="423"/>
      <c r="E87" s="423"/>
      <c r="F87" s="423"/>
      <c r="G87" s="423"/>
      <c r="H87" s="423"/>
      <c r="I87" s="423"/>
      <c r="J87" s="423"/>
      <c r="K87" s="443" t="s">
        <v>230</v>
      </c>
      <c r="L87" s="442" t="s">
        <v>353</v>
      </c>
      <c r="M87" s="442"/>
      <c r="N87" s="442" t="s">
        <v>349</v>
      </c>
    </row>
    <row r="88" spans="2:14">
      <c r="B88" s="423"/>
      <c r="C88" s="423"/>
      <c r="D88" s="423"/>
      <c r="E88" s="423"/>
      <c r="F88" s="423"/>
      <c r="G88" s="423"/>
      <c r="H88" s="423"/>
      <c r="I88" s="423"/>
      <c r="J88" s="423"/>
      <c r="K88" s="443" t="s">
        <v>378</v>
      </c>
      <c r="L88" s="443">
        <v>6</v>
      </c>
      <c r="M88" s="442"/>
      <c r="N88" s="443">
        <v>10</v>
      </c>
    </row>
    <row r="89" spans="2:14">
      <c r="B89" s="423"/>
      <c r="C89" s="423"/>
      <c r="D89" s="423"/>
      <c r="E89" s="423"/>
      <c r="F89" s="423"/>
      <c r="G89" s="423"/>
      <c r="H89" s="423"/>
      <c r="I89" s="423"/>
      <c r="J89" s="423"/>
      <c r="K89" s="423"/>
      <c r="L89" s="423"/>
      <c r="M89" s="423"/>
      <c r="N89" s="423"/>
    </row>
    <row r="90" spans="2:14">
      <c r="B90" s="423"/>
      <c r="C90" s="423"/>
      <c r="D90" s="423"/>
      <c r="E90" s="423"/>
      <c r="F90" s="423"/>
      <c r="G90" s="423"/>
      <c r="H90" s="423"/>
      <c r="I90" s="423"/>
      <c r="J90" s="423"/>
      <c r="K90" s="442"/>
      <c r="L90" s="443" t="s">
        <v>106</v>
      </c>
      <c r="M90" s="443" t="s">
        <v>370</v>
      </c>
      <c r="N90" s="443" t="s">
        <v>107</v>
      </c>
    </row>
    <row r="91" spans="2:14">
      <c r="B91" s="423"/>
      <c r="C91" s="423"/>
      <c r="D91" s="423"/>
      <c r="E91" s="423"/>
      <c r="F91" s="423"/>
      <c r="G91" s="423"/>
      <c r="H91" s="423"/>
      <c r="I91" s="423"/>
      <c r="J91" s="423"/>
      <c r="K91" s="443" t="s">
        <v>230</v>
      </c>
      <c r="L91" s="442">
        <v>0</v>
      </c>
      <c r="M91" s="442"/>
      <c r="N91" s="442">
        <v>0</v>
      </c>
    </row>
    <row r="92" spans="2:14">
      <c r="B92" s="423"/>
      <c r="C92" s="423"/>
      <c r="D92" s="423"/>
      <c r="E92" s="423"/>
      <c r="F92" s="423"/>
      <c r="G92" s="423"/>
      <c r="H92" s="423"/>
      <c r="I92" s="423"/>
      <c r="J92" s="423"/>
      <c r="K92" s="443" t="s">
        <v>378</v>
      </c>
      <c r="L92" s="442"/>
      <c r="M92" s="442"/>
      <c r="N92" s="442"/>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workbookViewId="0">
      <selection activeCell="K2" sqref="K2:M23"/>
    </sheetView>
  </sheetViews>
  <sheetFormatPr baseColWidth="10" defaultRowHeight="15" x14ac:dyDescent="0"/>
  <cols>
    <col min="1" max="1" width="21.6640625" customWidth="1"/>
    <col min="11" max="11" width="18.6640625" customWidth="1"/>
    <col min="14" max="14" width="21.33203125" customWidth="1"/>
  </cols>
  <sheetData>
    <row r="1" spans="1:13">
      <c r="A1" s="439" t="s">
        <v>277</v>
      </c>
    </row>
    <row r="2" spans="1:13">
      <c r="A2" t="s">
        <v>383</v>
      </c>
      <c r="B2" t="s">
        <v>384</v>
      </c>
      <c r="C2" t="s">
        <v>385</v>
      </c>
      <c r="D2" t="s">
        <v>386</v>
      </c>
      <c r="E2" t="s">
        <v>387</v>
      </c>
      <c r="F2" t="s">
        <v>388</v>
      </c>
      <c r="G2" t="s">
        <v>389</v>
      </c>
      <c r="H2" t="s">
        <v>390</v>
      </c>
      <c r="I2" t="s">
        <v>391</v>
      </c>
      <c r="K2" s="131" t="s">
        <v>13</v>
      </c>
      <c r="L2" s="131" t="s">
        <v>15</v>
      </c>
    </row>
    <row r="3" spans="1:13">
      <c r="A3" t="s">
        <v>6</v>
      </c>
      <c r="B3">
        <v>1</v>
      </c>
      <c r="C3">
        <v>55</v>
      </c>
      <c r="D3">
        <v>77</v>
      </c>
      <c r="E3" t="s">
        <v>211</v>
      </c>
      <c r="F3">
        <v>54</v>
      </c>
      <c r="G3">
        <v>117</v>
      </c>
      <c r="H3">
        <v>1</v>
      </c>
      <c r="I3">
        <v>3</v>
      </c>
      <c r="K3" s="143" t="str">
        <f>A6</f>
        <v>Ray Beierling</v>
      </c>
      <c r="L3" s="1">
        <v>50</v>
      </c>
    </row>
    <row r="4" spans="1:13">
      <c r="A4" t="s">
        <v>35</v>
      </c>
      <c r="B4">
        <v>1</v>
      </c>
      <c r="C4">
        <v>53</v>
      </c>
      <c r="D4">
        <v>88</v>
      </c>
      <c r="E4" t="s">
        <v>211</v>
      </c>
      <c r="F4">
        <v>50</v>
      </c>
      <c r="G4">
        <v>93</v>
      </c>
      <c r="H4">
        <v>2</v>
      </c>
      <c r="I4">
        <v>4</v>
      </c>
      <c r="K4" s="143" t="str">
        <f>A5</f>
        <v>Connor Reinman</v>
      </c>
      <c r="L4" s="1">
        <v>47</v>
      </c>
    </row>
    <row r="5" spans="1:13">
      <c r="A5" t="s">
        <v>34</v>
      </c>
      <c r="B5">
        <v>2</v>
      </c>
      <c r="C5">
        <v>60</v>
      </c>
      <c r="D5">
        <v>103</v>
      </c>
      <c r="E5" t="s">
        <v>211</v>
      </c>
      <c r="F5">
        <v>48</v>
      </c>
      <c r="G5">
        <v>117</v>
      </c>
      <c r="H5">
        <v>3</v>
      </c>
      <c r="I5">
        <v>2</v>
      </c>
      <c r="K5" s="143" t="str">
        <f>A3</f>
        <v>Justin Slater</v>
      </c>
      <c r="L5" s="1">
        <v>45</v>
      </c>
    </row>
    <row r="6" spans="1:13">
      <c r="A6" t="s">
        <v>2</v>
      </c>
      <c r="B6">
        <v>1</v>
      </c>
      <c r="C6">
        <v>52</v>
      </c>
      <c r="D6">
        <v>83</v>
      </c>
      <c r="E6" t="s">
        <v>211</v>
      </c>
      <c r="F6">
        <v>46</v>
      </c>
      <c r="G6">
        <v>115</v>
      </c>
      <c r="H6">
        <v>4</v>
      </c>
      <c r="I6">
        <v>1</v>
      </c>
      <c r="K6" s="143" t="str">
        <f>A4</f>
        <v>Jeremy Tracey</v>
      </c>
      <c r="L6" s="1">
        <v>43</v>
      </c>
    </row>
    <row r="7" spans="1:13">
      <c r="A7" t="s">
        <v>103</v>
      </c>
      <c r="B7">
        <v>1</v>
      </c>
      <c r="C7">
        <v>59</v>
      </c>
      <c r="D7">
        <v>74</v>
      </c>
      <c r="E7" t="s">
        <v>211</v>
      </c>
      <c r="F7">
        <v>41</v>
      </c>
      <c r="G7">
        <v>102</v>
      </c>
      <c r="K7" s="143" t="str">
        <f>A7</f>
        <v>Josh Carrafiello</v>
      </c>
      <c r="L7" s="1">
        <v>41</v>
      </c>
    </row>
    <row r="8" spans="1:13">
      <c r="A8" t="s">
        <v>36</v>
      </c>
      <c r="B8">
        <v>1</v>
      </c>
      <c r="C8">
        <v>62</v>
      </c>
      <c r="D8">
        <v>82</v>
      </c>
      <c r="E8" t="s">
        <v>211</v>
      </c>
      <c r="F8">
        <v>40</v>
      </c>
      <c r="G8">
        <v>98</v>
      </c>
      <c r="K8" s="143" t="str">
        <f t="shared" ref="K8:K13" si="0">A8</f>
        <v>Andrew Hutchinson</v>
      </c>
      <c r="L8" s="1">
        <v>40</v>
      </c>
    </row>
    <row r="9" spans="1:13">
      <c r="A9" t="s">
        <v>42</v>
      </c>
      <c r="B9">
        <v>2</v>
      </c>
      <c r="C9">
        <v>46</v>
      </c>
      <c r="D9">
        <v>69</v>
      </c>
      <c r="E9" t="s">
        <v>211</v>
      </c>
      <c r="F9">
        <v>39</v>
      </c>
      <c r="G9">
        <v>86</v>
      </c>
      <c r="K9" s="143" t="str">
        <f t="shared" si="0"/>
        <v>Ron Langill</v>
      </c>
      <c r="L9" s="1">
        <v>39</v>
      </c>
    </row>
    <row r="10" spans="1:13">
      <c r="A10" t="s">
        <v>4</v>
      </c>
      <c r="B10">
        <v>2</v>
      </c>
      <c r="C10">
        <v>51</v>
      </c>
      <c r="D10">
        <v>69</v>
      </c>
      <c r="E10" t="s">
        <v>211</v>
      </c>
      <c r="F10">
        <v>38</v>
      </c>
      <c r="G10">
        <v>101</v>
      </c>
      <c r="K10" s="143" t="str">
        <f t="shared" si="0"/>
        <v>Nathan Walsh</v>
      </c>
      <c r="L10" s="1">
        <v>38</v>
      </c>
    </row>
    <row r="11" spans="1:13">
      <c r="A11" t="s">
        <v>38</v>
      </c>
      <c r="B11">
        <v>2</v>
      </c>
      <c r="C11">
        <v>41</v>
      </c>
      <c r="D11">
        <v>73</v>
      </c>
      <c r="E11" t="s">
        <v>211</v>
      </c>
      <c r="F11">
        <v>36</v>
      </c>
      <c r="G11">
        <v>89</v>
      </c>
      <c r="K11" s="143" t="str">
        <f t="shared" si="0"/>
        <v>Reid Tracey</v>
      </c>
      <c r="L11" s="1">
        <v>37</v>
      </c>
    </row>
    <row r="12" spans="1:13">
      <c r="A12" t="s">
        <v>3</v>
      </c>
      <c r="B12">
        <v>2</v>
      </c>
      <c r="C12">
        <v>38</v>
      </c>
      <c r="D12">
        <v>71</v>
      </c>
      <c r="E12" t="s">
        <v>211</v>
      </c>
      <c r="F12">
        <v>32</v>
      </c>
      <c r="G12">
        <v>55</v>
      </c>
      <c r="K12" s="143" t="str">
        <f t="shared" si="0"/>
        <v>Fred Slater</v>
      </c>
      <c r="L12" s="1">
        <v>36</v>
      </c>
    </row>
    <row r="13" spans="1:13">
      <c r="A13" t="s">
        <v>281</v>
      </c>
      <c r="B13">
        <v>1</v>
      </c>
      <c r="C13">
        <v>36</v>
      </c>
      <c r="D13">
        <v>57</v>
      </c>
      <c r="E13" t="s">
        <v>211</v>
      </c>
      <c r="F13">
        <v>16</v>
      </c>
      <c r="G13">
        <v>50</v>
      </c>
      <c r="K13" s="143" t="str">
        <f t="shared" si="0"/>
        <v>Ron Reesor</v>
      </c>
      <c r="L13" s="1">
        <v>35</v>
      </c>
    </row>
    <row r="14" spans="1:13">
      <c r="A14" t="s">
        <v>37</v>
      </c>
      <c r="B14">
        <v>1</v>
      </c>
      <c r="C14">
        <v>23</v>
      </c>
      <c r="D14">
        <v>40</v>
      </c>
      <c r="E14" t="s">
        <v>214</v>
      </c>
      <c r="F14">
        <v>51</v>
      </c>
      <c r="G14">
        <v>49</v>
      </c>
      <c r="H14">
        <v>1</v>
      </c>
      <c r="I14">
        <v>4</v>
      </c>
      <c r="K14" s="143" t="str">
        <f>A17</f>
        <v>Travis Keener</v>
      </c>
      <c r="L14" s="1">
        <f>34+2</f>
        <v>36</v>
      </c>
      <c r="M14" s="186" t="s">
        <v>227</v>
      </c>
    </row>
    <row r="15" spans="1:13">
      <c r="A15" t="s">
        <v>8</v>
      </c>
      <c r="B15">
        <v>1</v>
      </c>
      <c r="C15">
        <v>34</v>
      </c>
      <c r="D15">
        <v>49</v>
      </c>
      <c r="E15" t="s">
        <v>214</v>
      </c>
      <c r="F15">
        <v>47</v>
      </c>
      <c r="G15">
        <v>51</v>
      </c>
      <c r="H15">
        <v>2</v>
      </c>
      <c r="I15">
        <v>2</v>
      </c>
      <c r="K15" s="143" t="str">
        <f>A15</f>
        <v>Clare Kuepfer</v>
      </c>
      <c r="L15" s="1">
        <f>33+1</f>
        <v>34</v>
      </c>
      <c r="M15" s="186" t="s">
        <v>228</v>
      </c>
    </row>
    <row r="16" spans="1:13">
      <c r="A16" t="s">
        <v>50</v>
      </c>
      <c r="B16">
        <v>2</v>
      </c>
      <c r="C16">
        <v>35</v>
      </c>
      <c r="D16">
        <v>61</v>
      </c>
      <c r="E16" t="s">
        <v>214</v>
      </c>
      <c r="F16">
        <v>46</v>
      </c>
      <c r="G16">
        <v>41</v>
      </c>
      <c r="H16">
        <v>3</v>
      </c>
      <c r="I16">
        <v>3</v>
      </c>
      <c r="K16" s="143" t="str">
        <f>A16</f>
        <v>Jeff McKeen</v>
      </c>
      <c r="L16" s="1">
        <v>32</v>
      </c>
    </row>
    <row r="17" spans="1:15">
      <c r="A17" t="s">
        <v>326</v>
      </c>
      <c r="B17">
        <v>2</v>
      </c>
      <c r="C17">
        <v>33</v>
      </c>
      <c r="D17">
        <v>52</v>
      </c>
      <c r="E17" t="s">
        <v>214</v>
      </c>
      <c r="F17">
        <v>43</v>
      </c>
      <c r="G17">
        <v>49</v>
      </c>
      <c r="H17">
        <v>4</v>
      </c>
      <c r="I17">
        <v>1</v>
      </c>
      <c r="K17" s="143" t="str">
        <f>A14</f>
        <v>Nolan Tracey</v>
      </c>
      <c r="L17" s="1">
        <v>31</v>
      </c>
    </row>
    <row r="18" spans="1:15">
      <c r="A18" t="s">
        <v>121</v>
      </c>
      <c r="B18">
        <v>1</v>
      </c>
      <c r="C18">
        <v>33</v>
      </c>
      <c r="D18">
        <v>46</v>
      </c>
      <c r="E18" t="s">
        <v>214</v>
      </c>
      <c r="F18">
        <v>39</v>
      </c>
      <c r="G18">
        <v>30</v>
      </c>
      <c r="K18" s="143" t="str">
        <f>A18</f>
        <v>Dan Hepburn</v>
      </c>
      <c r="L18" s="1">
        <v>30</v>
      </c>
    </row>
    <row r="19" spans="1:15">
      <c r="A19" t="s">
        <v>27</v>
      </c>
      <c r="B19">
        <v>2</v>
      </c>
      <c r="C19">
        <v>18</v>
      </c>
      <c r="D19">
        <v>40</v>
      </c>
      <c r="E19" t="s">
        <v>214</v>
      </c>
      <c r="F19">
        <v>33</v>
      </c>
      <c r="G19">
        <v>38</v>
      </c>
      <c r="K19" s="143" t="str">
        <f t="shared" ref="K19:K23" si="1">A19</f>
        <v>Cathy Kuepfer</v>
      </c>
      <c r="L19" s="1">
        <v>29</v>
      </c>
    </row>
    <row r="20" spans="1:15">
      <c r="A20" t="s">
        <v>340</v>
      </c>
      <c r="B20">
        <v>1</v>
      </c>
      <c r="C20">
        <v>21</v>
      </c>
      <c r="D20">
        <v>56</v>
      </c>
      <c r="E20" t="s">
        <v>214</v>
      </c>
      <c r="F20">
        <v>31</v>
      </c>
      <c r="G20">
        <v>45</v>
      </c>
      <c r="K20" s="143" t="str">
        <f t="shared" si="1"/>
        <v>Garret Tracey</v>
      </c>
      <c r="L20" s="1">
        <v>28</v>
      </c>
    </row>
    <row r="21" spans="1:15">
      <c r="A21" t="s">
        <v>208</v>
      </c>
      <c r="B21">
        <v>1</v>
      </c>
      <c r="C21">
        <v>12</v>
      </c>
      <c r="D21">
        <v>17</v>
      </c>
      <c r="E21" t="s">
        <v>214</v>
      </c>
      <c r="F21">
        <v>28</v>
      </c>
      <c r="G21">
        <v>27</v>
      </c>
      <c r="K21" s="143" t="str">
        <f t="shared" si="1"/>
        <v>Gloria Walsh</v>
      </c>
      <c r="L21" s="1">
        <v>27</v>
      </c>
    </row>
    <row r="22" spans="1:15">
      <c r="A22" t="s">
        <v>392</v>
      </c>
      <c r="B22">
        <v>2</v>
      </c>
      <c r="C22">
        <v>14</v>
      </c>
      <c r="D22">
        <v>20</v>
      </c>
      <c r="E22" t="s">
        <v>214</v>
      </c>
      <c r="F22">
        <v>22</v>
      </c>
      <c r="G22">
        <v>26</v>
      </c>
      <c r="K22" s="143" t="str">
        <f t="shared" si="1"/>
        <v>Ryan Demeurichy</v>
      </c>
      <c r="L22" s="1">
        <v>26</v>
      </c>
    </row>
    <row r="23" spans="1:15">
      <c r="A23" t="s">
        <v>393</v>
      </c>
      <c r="B23">
        <v>2</v>
      </c>
      <c r="C23">
        <v>24</v>
      </c>
      <c r="D23">
        <v>37</v>
      </c>
      <c r="E23" t="s">
        <v>214</v>
      </c>
      <c r="F23">
        <v>20</v>
      </c>
      <c r="G23">
        <v>37</v>
      </c>
      <c r="K23" s="143" t="str">
        <f t="shared" si="1"/>
        <v>Alex Protas</v>
      </c>
      <c r="L23" s="1">
        <v>25</v>
      </c>
    </row>
    <row r="27" spans="1:15">
      <c r="A27" s="439" t="s">
        <v>284</v>
      </c>
    </row>
    <row r="28" spans="1:15">
      <c r="A28" t="s">
        <v>383</v>
      </c>
      <c r="B28" t="s">
        <v>384</v>
      </c>
      <c r="C28" t="s">
        <v>385</v>
      </c>
      <c r="D28" t="s">
        <v>386</v>
      </c>
      <c r="E28" t="s">
        <v>387</v>
      </c>
      <c r="F28" t="s">
        <v>388</v>
      </c>
      <c r="G28" t="s">
        <v>389</v>
      </c>
      <c r="H28" t="s">
        <v>151</v>
      </c>
      <c r="I28" t="s">
        <v>391</v>
      </c>
      <c r="N28" s="131" t="s">
        <v>13</v>
      </c>
      <c r="O28" s="131" t="s">
        <v>15</v>
      </c>
    </row>
    <row r="29" spans="1:15">
      <c r="A29" t="s">
        <v>396</v>
      </c>
      <c r="B29">
        <v>4</v>
      </c>
      <c r="C29">
        <v>54</v>
      </c>
      <c r="D29">
        <v>54</v>
      </c>
      <c r="E29" t="s">
        <v>220</v>
      </c>
      <c r="F29">
        <v>42</v>
      </c>
      <c r="G29">
        <v>58</v>
      </c>
      <c r="H29">
        <v>1</v>
      </c>
      <c r="I29">
        <v>1</v>
      </c>
      <c r="N29" s="143" t="str">
        <f>A29</f>
        <v>Grant Flick</v>
      </c>
      <c r="O29" s="1">
        <v>50</v>
      </c>
    </row>
    <row r="30" spans="1:15">
      <c r="A30" t="s">
        <v>397</v>
      </c>
      <c r="B30">
        <v>5</v>
      </c>
      <c r="C30">
        <v>57</v>
      </c>
      <c r="D30">
        <v>53</v>
      </c>
      <c r="E30" t="s">
        <v>220</v>
      </c>
      <c r="F30">
        <v>39</v>
      </c>
      <c r="G30">
        <v>52</v>
      </c>
      <c r="H30">
        <v>2</v>
      </c>
      <c r="I30">
        <v>4</v>
      </c>
      <c r="N30" s="143" t="str">
        <f>A31</f>
        <v>Voeun Vann</v>
      </c>
      <c r="O30" s="1">
        <v>47</v>
      </c>
    </row>
    <row r="31" spans="1:15">
      <c r="A31" t="s">
        <v>123</v>
      </c>
      <c r="B31">
        <v>4</v>
      </c>
      <c r="C31">
        <v>41</v>
      </c>
      <c r="D31">
        <v>42</v>
      </c>
      <c r="E31" t="s">
        <v>220</v>
      </c>
      <c r="F31">
        <v>36</v>
      </c>
      <c r="G31">
        <v>42</v>
      </c>
      <c r="H31">
        <v>3</v>
      </c>
      <c r="I31">
        <v>2</v>
      </c>
      <c r="N31" s="143" t="str">
        <f>A32</f>
        <v>Al Little</v>
      </c>
      <c r="O31" s="1">
        <v>45</v>
      </c>
    </row>
    <row r="32" spans="1:15">
      <c r="A32" t="s">
        <v>394</v>
      </c>
      <c r="B32">
        <v>3</v>
      </c>
      <c r="C32">
        <v>41</v>
      </c>
      <c r="D32">
        <v>37</v>
      </c>
      <c r="E32" t="s">
        <v>220</v>
      </c>
      <c r="F32">
        <v>34</v>
      </c>
      <c r="G32">
        <v>26</v>
      </c>
      <c r="H32">
        <v>4</v>
      </c>
      <c r="I32">
        <v>3</v>
      </c>
      <c r="N32" s="143" t="str">
        <f>A30</f>
        <v>Jacob Warren</v>
      </c>
      <c r="O32" s="1">
        <v>43</v>
      </c>
    </row>
    <row r="33" spans="1:16">
      <c r="A33" t="s">
        <v>124</v>
      </c>
      <c r="B33">
        <v>5</v>
      </c>
      <c r="C33">
        <v>64</v>
      </c>
      <c r="D33">
        <v>61</v>
      </c>
      <c r="E33" t="s">
        <v>220</v>
      </c>
      <c r="F33">
        <v>32</v>
      </c>
      <c r="G33">
        <v>38</v>
      </c>
      <c r="N33" s="143" t="str">
        <f t="shared" ref="N33:N55" si="2">A33</f>
        <v>Vuth Vann</v>
      </c>
      <c r="O33" s="1">
        <v>41</v>
      </c>
    </row>
    <row r="34" spans="1:16">
      <c r="A34" t="s">
        <v>398</v>
      </c>
      <c r="B34">
        <v>5</v>
      </c>
      <c r="C34">
        <v>44</v>
      </c>
      <c r="D34">
        <v>38</v>
      </c>
      <c r="E34" t="s">
        <v>220</v>
      </c>
      <c r="F34">
        <v>32</v>
      </c>
      <c r="G34">
        <v>42</v>
      </c>
      <c r="N34" s="143" t="str">
        <f t="shared" si="2"/>
        <v>David Skipper</v>
      </c>
      <c r="O34" s="1">
        <v>40</v>
      </c>
    </row>
    <row r="35" spans="1:16">
      <c r="A35" t="s">
        <v>415</v>
      </c>
      <c r="B35">
        <v>3</v>
      </c>
      <c r="C35">
        <v>51</v>
      </c>
      <c r="D35">
        <v>38</v>
      </c>
      <c r="E35" t="s">
        <v>220</v>
      </c>
      <c r="F35">
        <v>29</v>
      </c>
      <c r="G35">
        <v>24</v>
      </c>
      <c r="N35" s="143" t="str">
        <f t="shared" si="2"/>
        <v>Jeff Utley</v>
      </c>
      <c r="O35" s="1">
        <v>39</v>
      </c>
    </row>
    <row r="36" spans="1:16">
      <c r="A36" t="s">
        <v>395</v>
      </c>
      <c r="B36">
        <v>3</v>
      </c>
      <c r="C36">
        <v>39</v>
      </c>
      <c r="D36">
        <v>26</v>
      </c>
      <c r="E36" t="s">
        <v>220</v>
      </c>
      <c r="F36">
        <v>27</v>
      </c>
      <c r="G36">
        <v>29</v>
      </c>
      <c r="N36" s="143" t="str">
        <f t="shared" si="2"/>
        <v>William Brown</v>
      </c>
      <c r="O36" s="1">
        <v>38</v>
      </c>
    </row>
    <row r="37" spans="1:16">
      <c r="A37" t="s">
        <v>414</v>
      </c>
      <c r="B37">
        <v>4</v>
      </c>
      <c r="C37">
        <v>43</v>
      </c>
      <c r="D37">
        <v>41</v>
      </c>
      <c r="E37" t="s">
        <v>220</v>
      </c>
      <c r="F37">
        <v>13</v>
      </c>
      <c r="G37">
        <v>18</v>
      </c>
      <c r="N37" s="143" t="str">
        <f t="shared" si="2"/>
        <v>Steven Workman</v>
      </c>
      <c r="O37" s="1">
        <v>37</v>
      </c>
    </row>
    <row r="38" spans="1:16">
      <c r="A38" t="s">
        <v>401</v>
      </c>
      <c r="B38">
        <v>4</v>
      </c>
      <c r="C38">
        <v>39</v>
      </c>
      <c r="D38">
        <v>30</v>
      </c>
      <c r="E38" t="s">
        <v>239</v>
      </c>
      <c r="F38">
        <v>48</v>
      </c>
      <c r="G38">
        <v>30</v>
      </c>
      <c r="H38">
        <v>1</v>
      </c>
      <c r="I38">
        <v>1</v>
      </c>
      <c r="N38" s="143" t="str">
        <f t="shared" si="2"/>
        <v>Murray Little</v>
      </c>
      <c r="O38" s="1">
        <f>36+2</f>
        <v>38</v>
      </c>
      <c r="P38" s="186" t="s">
        <v>227</v>
      </c>
    </row>
    <row r="39" spans="1:16">
      <c r="A39" t="s">
        <v>400</v>
      </c>
      <c r="B39">
        <v>3</v>
      </c>
      <c r="C39">
        <v>24</v>
      </c>
      <c r="D39">
        <v>12</v>
      </c>
      <c r="E39" t="s">
        <v>239</v>
      </c>
      <c r="F39">
        <v>38</v>
      </c>
      <c r="G39">
        <v>27</v>
      </c>
      <c r="H39">
        <v>2</v>
      </c>
      <c r="I39">
        <v>2</v>
      </c>
      <c r="N39" s="143" t="str">
        <f t="shared" si="2"/>
        <v>Kyle Schembri</v>
      </c>
      <c r="O39" s="1">
        <f>35+1</f>
        <v>36</v>
      </c>
      <c r="P39" s="186" t="s">
        <v>228</v>
      </c>
    </row>
    <row r="40" spans="1:16">
      <c r="A40" t="s">
        <v>403</v>
      </c>
      <c r="B40">
        <v>5</v>
      </c>
      <c r="C40">
        <v>41</v>
      </c>
      <c r="D40">
        <v>33</v>
      </c>
      <c r="E40" t="s">
        <v>239</v>
      </c>
      <c r="F40">
        <v>38</v>
      </c>
      <c r="G40">
        <v>23</v>
      </c>
      <c r="N40" s="143" t="str">
        <f t="shared" si="2"/>
        <v>Alan Duck</v>
      </c>
      <c r="O40" s="1">
        <f>34</f>
        <v>34</v>
      </c>
    </row>
    <row r="41" spans="1:16">
      <c r="A41" t="s">
        <v>399</v>
      </c>
      <c r="B41">
        <v>3</v>
      </c>
      <c r="C41">
        <v>33</v>
      </c>
      <c r="D41">
        <v>21</v>
      </c>
      <c r="E41" t="s">
        <v>239</v>
      </c>
      <c r="F41">
        <v>37</v>
      </c>
      <c r="G41">
        <v>27</v>
      </c>
      <c r="N41" s="143" t="str">
        <f t="shared" si="2"/>
        <v>George Whittal</v>
      </c>
      <c r="O41" s="1">
        <f>33</f>
        <v>33</v>
      </c>
    </row>
    <row r="42" spans="1:16">
      <c r="A42" t="s">
        <v>238</v>
      </c>
      <c r="B42">
        <v>3</v>
      </c>
      <c r="C42">
        <v>38</v>
      </c>
      <c r="D42">
        <v>40</v>
      </c>
      <c r="E42" t="s">
        <v>239</v>
      </c>
      <c r="F42">
        <v>35</v>
      </c>
      <c r="G42">
        <v>21</v>
      </c>
      <c r="N42" s="143" t="str">
        <f t="shared" si="2"/>
        <v>Doreen Sulkye</v>
      </c>
      <c r="O42" s="1">
        <v>32</v>
      </c>
    </row>
    <row r="43" spans="1:16">
      <c r="A43" t="s">
        <v>357</v>
      </c>
      <c r="B43">
        <v>4</v>
      </c>
      <c r="C43">
        <v>31</v>
      </c>
      <c r="D43">
        <v>33</v>
      </c>
      <c r="E43" t="s">
        <v>239</v>
      </c>
      <c r="F43">
        <v>27</v>
      </c>
      <c r="G43">
        <v>28</v>
      </c>
      <c r="N43" s="143" t="str">
        <f t="shared" si="2"/>
        <v>Bruno Richter</v>
      </c>
      <c r="O43" s="1">
        <v>31</v>
      </c>
    </row>
    <row r="44" spans="1:16">
      <c r="A44" t="s">
        <v>402</v>
      </c>
      <c r="B44">
        <v>4</v>
      </c>
      <c r="C44">
        <v>30</v>
      </c>
      <c r="D44">
        <v>30</v>
      </c>
      <c r="E44" t="s">
        <v>239</v>
      </c>
      <c r="F44">
        <v>26</v>
      </c>
      <c r="G44">
        <v>20</v>
      </c>
      <c r="N44" s="143" t="str">
        <f t="shared" si="2"/>
        <v>Matt Weverink</v>
      </c>
      <c r="O44" s="1">
        <v>30</v>
      </c>
    </row>
    <row r="45" spans="1:16">
      <c r="A45" t="s">
        <v>404</v>
      </c>
      <c r="B45">
        <v>5</v>
      </c>
      <c r="C45">
        <v>36</v>
      </c>
      <c r="D45">
        <v>26</v>
      </c>
      <c r="E45" t="s">
        <v>239</v>
      </c>
      <c r="F45">
        <v>23</v>
      </c>
      <c r="G45">
        <v>19</v>
      </c>
      <c r="N45" s="143" t="str">
        <f t="shared" si="2"/>
        <v>Kim Utley</v>
      </c>
      <c r="O45" s="1">
        <v>29</v>
      </c>
    </row>
    <row r="46" spans="1:16">
      <c r="A46" t="s">
        <v>405</v>
      </c>
      <c r="B46">
        <v>5</v>
      </c>
      <c r="C46">
        <v>35</v>
      </c>
      <c r="D46">
        <v>20</v>
      </c>
      <c r="E46" t="s">
        <v>239</v>
      </c>
      <c r="F46">
        <v>16</v>
      </c>
      <c r="G46">
        <v>11</v>
      </c>
      <c r="N46" s="143" t="str">
        <f t="shared" si="2"/>
        <v>Gus Hohmann</v>
      </c>
      <c r="O46" s="1">
        <v>28</v>
      </c>
    </row>
    <row r="47" spans="1:16">
      <c r="A47" t="s">
        <v>411</v>
      </c>
      <c r="B47">
        <v>5</v>
      </c>
      <c r="C47">
        <v>32</v>
      </c>
      <c r="D47">
        <v>18</v>
      </c>
      <c r="E47" t="s">
        <v>245</v>
      </c>
      <c r="F47">
        <v>47</v>
      </c>
      <c r="G47">
        <v>19</v>
      </c>
      <c r="H47">
        <v>1</v>
      </c>
      <c r="I47">
        <v>1</v>
      </c>
      <c r="N47" s="143" t="str">
        <f t="shared" si="2"/>
        <v>Ruth Deschamps</v>
      </c>
      <c r="O47" s="1">
        <f>27+2</f>
        <v>29</v>
      </c>
      <c r="P47" s="186" t="s">
        <v>227</v>
      </c>
    </row>
    <row r="48" spans="1:16">
      <c r="A48" t="s">
        <v>409</v>
      </c>
      <c r="B48">
        <v>4</v>
      </c>
      <c r="C48">
        <v>29</v>
      </c>
      <c r="D48">
        <v>24</v>
      </c>
      <c r="E48" t="s">
        <v>245</v>
      </c>
      <c r="F48">
        <v>40</v>
      </c>
      <c r="G48">
        <v>38</v>
      </c>
      <c r="H48">
        <v>2</v>
      </c>
      <c r="I48">
        <v>2</v>
      </c>
      <c r="N48" s="143" t="str">
        <f t="shared" si="2"/>
        <v>Ken Lavoie</v>
      </c>
      <c r="O48" s="1">
        <f>26+1</f>
        <v>27</v>
      </c>
      <c r="P48" s="186" t="s">
        <v>228</v>
      </c>
    </row>
    <row r="49" spans="1:15">
      <c r="A49" t="s">
        <v>410</v>
      </c>
      <c r="B49">
        <v>4</v>
      </c>
      <c r="C49">
        <v>4</v>
      </c>
      <c r="D49">
        <v>10</v>
      </c>
      <c r="E49" t="s">
        <v>245</v>
      </c>
      <c r="F49">
        <v>40</v>
      </c>
      <c r="G49">
        <v>10</v>
      </c>
      <c r="N49" s="143" t="str">
        <f t="shared" si="2"/>
        <v>Doug Young</v>
      </c>
      <c r="O49" s="1">
        <v>25</v>
      </c>
    </row>
    <row r="50" spans="1:15">
      <c r="A50" t="s">
        <v>406</v>
      </c>
      <c r="B50">
        <v>3</v>
      </c>
      <c r="C50">
        <v>23</v>
      </c>
      <c r="D50">
        <v>32</v>
      </c>
      <c r="E50" t="s">
        <v>245</v>
      </c>
      <c r="F50">
        <v>39</v>
      </c>
      <c r="G50">
        <v>34</v>
      </c>
      <c r="N50" s="143" t="str">
        <f t="shared" si="2"/>
        <v>Joan Murphy-Walker</v>
      </c>
      <c r="O50" s="1">
        <v>24</v>
      </c>
    </row>
    <row r="51" spans="1:15">
      <c r="A51" t="s">
        <v>407</v>
      </c>
      <c r="B51">
        <v>3</v>
      </c>
      <c r="C51">
        <v>18</v>
      </c>
      <c r="D51">
        <v>19</v>
      </c>
      <c r="E51" t="s">
        <v>245</v>
      </c>
      <c r="F51">
        <v>34</v>
      </c>
      <c r="G51">
        <v>17</v>
      </c>
      <c r="N51" s="143" t="str">
        <f t="shared" si="2"/>
        <v>Mary Williston</v>
      </c>
      <c r="O51" s="1">
        <v>23</v>
      </c>
    </row>
    <row r="52" spans="1:15">
      <c r="A52" t="s">
        <v>303</v>
      </c>
      <c r="B52">
        <v>5</v>
      </c>
      <c r="C52">
        <v>17</v>
      </c>
      <c r="D52">
        <v>10</v>
      </c>
      <c r="E52" t="s">
        <v>245</v>
      </c>
      <c r="F52">
        <v>30</v>
      </c>
      <c r="G52">
        <v>12</v>
      </c>
      <c r="N52" s="143" t="str">
        <f t="shared" si="2"/>
        <v>Mary Hohman</v>
      </c>
      <c r="O52" s="1">
        <v>22</v>
      </c>
    </row>
    <row r="53" spans="1:15">
      <c r="A53" t="s">
        <v>412</v>
      </c>
      <c r="B53">
        <v>5</v>
      </c>
      <c r="C53">
        <v>21</v>
      </c>
      <c r="D53">
        <v>27</v>
      </c>
      <c r="E53" t="s">
        <v>245</v>
      </c>
      <c r="F53">
        <v>25</v>
      </c>
      <c r="G53">
        <v>16</v>
      </c>
      <c r="N53" s="143" t="str">
        <f t="shared" si="2"/>
        <v>Liz Dalla Bona</v>
      </c>
      <c r="O53" s="1">
        <v>21</v>
      </c>
    </row>
    <row r="54" spans="1:15">
      <c r="A54" t="s">
        <v>408</v>
      </c>
      <c r="B54">
        <v>3</v>
      </c>
      <c r="C54">
        <v>13</v>
      </c>
      <c r="D54">
        <v>9</v>
      </c>
      <c r="E54" t="s">
        <v>245</v>
      </c>
      <c r="F54">
        <v>17</v>
      </c>
      <c r="G54">
        <v>6</v>
      </c>
      <c r="N54" s="143" t="str">
        <f t="shared" si="2"/>
        <v>Sherrie Piens</v>
      </c>
      <c r="O54" s="1">
        <v>20</v>
      </c>
    </row>
    <row r="55" spans="1:15">
      <c r="A55" t="s">
        <v>413</v>
      </c>
      <c r="B55">
        <v>5</v>
      </c>
      <c r="C55">
        <v>20</v>
      </c>
      <c r="D55">
        <v>16</v>
      </c>
      <c r="E55" t="s">
        <v>245</v>
      </c>
      <c r="F55">
        <v>15</v>
      </c>
      <c r="G55">
        <v>12</v>
      </c>
      <c r="N55" s="143" t="str">
        <f t="shared" si="2"/>
        <v>Tristen McLean</v>
      </c>
      <c r="O55" s="1">
        <v>20</v>
      </c>
    </row>
  </sheetData>
  <sortState ref="A29:I55">
    <sortCondition ref="E29:E55"/>
    <sortCondition descending="1" ref="F29:F55"/>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Tour Rankings-Comp</vt:lpstr>
      <vt:lpstr>Tour Rankings-Rec</vt:lpstr>
      <vt:lpstr>NCA Players Doubles</vt:lpstr>
      <vt:lpstr>NCA Players Singles</vt:lpstr>
      <vt:lpstr>Belleville</vt:lpstr>
      <vt:lpstr>Owen Sound</vt:lpstr>
      <vt:lpstr>ODCC</vt:lpstr>
      <vt:lpstr>Elmira</vt:lpstr>
      <vt:lpstr>Chatham</vt:lpstr>
      <vt:lpstr>London</vt:lpstr>
      <vt:lpstr>US Open</vt:lpstr>
      <vt:lpstr>Ontario Singles</vt:lpstr>
      <vt:lpstr>Points Model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Walsh</dc:creator>
  <cp:lastModifiedBy>Nathan Walsh</cp:lastModifiedBy>
  <dcterms:created xsi:type="dcterms:W3CDTF">2020-03-22T02:09:51Z</dcterms:created>
  <dcterms:modified xsi:type="dcterms:W3CDTF">2023-05-10T04:17:04Z</dcterms:modified>
</cp:coreProperties>
</file>